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ring1-my.sharepoint.com/personal/jennie-ry_lootus_elering_ee/Documents/Desktop/Tähtsad failid/Jelenalt üle võetud/"/>
    </mc:Choice>
  </mc:AlternateContent>
  <xr:revisionPtr revIDLastSave="515" documentId="13_ncr:1_{862A4DF4-F66B-46B2-9C55-9093065E6B22}" xr6:coauthVersionLast="47" xr6:coauthVersionMax="47" xr10:uidLastSave="{EDCEB426-AC25-44AE-9EC5-A072275E07FC}"/>
  <bookViews>
    <workbookView xWindow="33510" yWindow="3420" windowWidth="14400" windowHeight="8175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9" i="18" l="1"/>
  <c r="AS10" i="18"/>
  <c r="AS11" i="18"/>
  <c r="AS12" i="18"/>
  <c r="AS13" i="18"/>
  <c r="AS14" i="18"/>
  <c r="AS15" i="18"/>
  <c r="AR9" i="18"/>
  <c r="AR10" i="18"/>
  <c r="AR11" i="18"/>
  <c r="AR12" i="18"/>
  <c r="AR13" i="18"/>
  <c r="AR14" i="18"/>
  <c r="AR15" i="18"/>
  <c r="AQ9" i="18"/>
  <c r="AQ10" i="18"/>
  <c r="AQ11" i="18"/>
  <c r="AQ12" i="18"/>
  <c r="AQ13" i="18"/>
  <c r="AQ14" i="18"/>
  <c r="AS3" i="18"/>
  <c r="AS4" i="18"/>
  <c r="AS5" i="18"/>
  <c r="AS6" i="18"/>
  <c r="AS7" i="18"/>
  <c r="AR3" i="18"/>
  <c r="AR4" i="18"/>
  <c r="AR5" i="18"/>
  <c r="AR6" i="18"/>
  <c r="AR7" i="18"/>
  <c r="AQ3" i="18"/>
  <c r="AQ4" i="18"/>
  <c r="AQ5" i="18"/>
  <c r="AQ6" i="18"/>
  <c r="AQ7" i="18"/>
  <c r="AM15" i="18"/>
  <c r="DZ17" i="1"/>
  <c r="DZ13" i="1"/>
  <c r="DZ10" i="1"/>
  <c r="DZ8" i="1"/>
  <c r="DZ2" i="1" l="1"/>
  <c r="DY17" i="1"/>
  <c r="DY13" i="1"/>
  <c r="DY10" i="1"/>
  <c r="DY8" i="1" s="1"/>
  <c r="DY2" i="1"/>
  <c r="DX17" i="1"/>
  <c r="DX13" i="1"/>
  <c r="DX10" i="1"/>
  <c r="DX2" i="1"/>
  <c r="AS2" i="18" s="1"/>
  <c r="DR17" i="1"/>
  <c r="DS17" i="1"/>
  <c r="DT17" i="1"/>
  <c r="DU17" i="1"/>
  <c r="DV17" i="1"/>
  <c r="DW17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DU13" i="1"/>
  <c r="DV13" i="1"/>
  <c r="DW13" i="1"/>
  <c r="B13" i="1"/>
  <c r="C13" i="1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DX8" i="1" l="1"/>
  <c r="AS8" i="18" s="1"/>
  <c r="B2" i="1"/>
  <c r="DV10" i="1"/>
  <c r="DV8" i="1" s="1"/>
  <c r="DW10" i="1"/>
  <c r="DW8" i="1" s="1"/>
  <c r="DW2" i="1"/>
  <c r="DV26" i="1"/>
  <c r="DU26" i="1"/>
  <c r="DV2" i="1"/>
  <c r="DU2" i="1"/>
  <c r="AR2" i="18" s="1"/>
  <c r="DU10" i="1"/>
  <c r="AQ15" i="18"/>
  <c r="DT10" i="1"/>
  <c r="DT8" i="1" s="1"/>
  <c r="DU8" i="1" l="1"/>
  <c r="AR8" i="18" s="1"/>
  <c r="DT26" i="1"/>
  <c r="DT2" i="1"/>
  <c r="DS10" i="1"/>
  <c r="DS8" i="1" s="1"/>
  <c r="DS26" i="1"/>
  <c r="DS2" i="1" l="1"/>
  <c r="DR26" i="1"/>
  <c r="DR10" i="1"/>
  <c r="DR2" i="1"/>
  <c r="AQ2" i="18" s="1"/>
  <c r="L14" i="19"/>
  <c r="L15" i="19"/>
  <c r="L12" i="19"/>
  <c r="L11" i="19"/>
  <c r="L13" i="19"/>
  <c r="L9" i="19"/>
  <c r="L7" i="19"/>
  <c r="L6" i="19"/>
  <c r="L5" i="19"/>
  <c r="L4" i="19"/>
  <c r="L3" i="19"/>
  <c r="AP14" i="18"/>
  <c r="AP15" i="18"/>
  <c r="AP12" i="18"/>
  <c r="AP11" i="18"/>
  <c r="AP13" i="18"/>
  <c r="AP9" i="18"/>
  <c r="AP7" i="18"/>
  <c r="AP6" i="18"/>
  <c r="AP5" i="18"/>
  <c r="AP4" i="18"/>
  <c r="AP3" i="18"/>
  <c r="DQ16" i="1"/>
  <c r="DR8" i="1" l="1"/>
  <c r="AQ8" i="18" s="1"/>
  <c r="DQ26" i="1"/>
  <c r="DQ10" i="1"/>
  <c r="DQ8" i="1" s="1"/>
  <c r="DQ2" i="1"/>
  <c r="DP16" i="1"/>
  <c r="DO16" i="1"/>
  <c r="DP26" i="1"/>
  <c r="DP10" i="1"/>
  <c r="DP8" i="1" s="1"/>
  <c r="DP2" i="1"/>
  <c r="DO2" i="1"/>
  <c r="DO10" i="1"/>
  <c r="DO8" i="1" s="1"/>
  <c r="AP8" i="18" l="1"/>
  <c r="AP10" i="18"/>
  <c r="AP2" i="18"/>
  <c r="DO26" i="1"/>
  <c r="AO14" i="18"/>
  <c r="AO15" i="18"/>
  <c r="AO12" i="18"/>
  <c r="AO11" i="18"/>
  <c r="AO13" i="18"/>
  <c r="AO9" i="18"/>
  <c r="AO7" i="18"/>
  <c r="AO6" i="18"/>
  <c r="AO5" i="18"/>
  <c r="AO4" i="18"/>
  <c r="AO3" i="18"/>
  <c r="DN16" i="1"/>
  <c r="DN10" i="1"/>
  <c r="DN8" i="1" s="1"/>
  <c r="DN26" i="1" l="1"/>
  <c r="DN2" i="1"/>
  <c r="DM16" i="1"/>
  <c r="DM10" i="1" l="1"/>
  <c r="DM8" i="1" s="1"/>
  <c r="DM2" i="1"/>
  <c r="DM26" i="1"/>
  <c r="DL16" i="1"/>
  <c r="DL10" i="1" l="1"/>
  <c r="DL8" i="1" s="1"/>
  <c r="DL2" i="1"/>
  <c r="AO2" i="18" s="1"/>
  <c r="DL26" i="1"/>
  <c r="AN14" i="18"/>
  <c r="AN15" i="18"/>
  <c r="AN12" i="18"/>
  <c r="AN11" i="18"/>
  <c r="AN13" i="18"/>
  <c r="AN9" i="18"/>
  <c r="AN7" i="18"/>
  <c r="AN6" i="18"/>
  <c r="AN5" i="18"/>
  <c r="AN4" i="18"/>
  <c r="AN3" i="18"/>
  <c r="DK16" i="1"/>
  <c r="AO8" i="18" l="1"/>
  <c r="AO10" i="18"/>
  <c r="DK26" i="1"/>
  <c r="DK10" i="1"/>
  <c r="DK8" i="1" s="1"/>
  <c r="DK2" i="1"/>
  <c r="DJ16" i="1"/>
  <c r="DJ26" i="1"/>
  <c r="DJ10" i="1"/>
  <c r="DJ8" i="1" s="1"/>
  <c r="DJ2" i="1"/>
  <c r="DI16" i="1"/>
  <c r="DI26" i="1"/>
  <c r="DI10" i="1"/>
  <c r="DI8" i="1" s="1"/>
  <c r="DI2" i="1"/>
  <c r="AM14" i="18"/>
  <c r="AM12" i="18"/>
  <c r="AM11" i="18"/>
  <c r="AM13" i="18"/>
  <c r="AM9" i="18"/>
  <c r="AQ20" i="18" s="1"/>
  <c r="AM7" i="18"/>
  <c r="AM6" i="18"/>
  <c r="AM5" i="18"/>
  <c r="AM4" i="18"/>
  <c r="AM3" i="18"/>
  <c r="AL3" i="18"/>
  <c r="AL4" i="18"/>
  <c r="AL5" i="18"/>
  <c r="AL6" i="18"/>
  <c r="AL7" i="18"/>
  <c r="AL9" i="18"/>
  <c r="AP20" i="18" s="1"/>
  <c r="AL13" i="18"/>
  <c r="AL11" i="18"/>
  <c r="AL12" i="18"/>
  <c r="AL15" i="18"/>
  <c r="AL14" i="18"/>
  <c r="DH16" i="1"/>
  <c r="DH26" i="1"/>
  <c r="DV27" i="1" l="1"/>
  <c r="AN8" i="18"/>
  <c r="AN10" i="18"/>
  <c r="DT27" i="1"/>
  <c r="DU27" i="1"/>
  <c r="DV25" i="1"/>
  <c r="DU25" i="1"/>
  <c r="AN2" i="18"/>
  <c r="DH10" i="1"/>
  <c r="DH8" i="1" s="1"/>
  <c r="DH2" i="1"/>
  <c r="DG16" i="1"/>
  <c r="DS27" i="1" s="1"/>
  <c r="DT25" i="1" l="1"/>
  <c r="DG26" i="1"/>
  <c r="DG10" i="1"/>
  <c r="DG8" i="1" s="1"/>
  <c r="DG2" i="1"/>
  <c r="DF16" i="1"/>
  <c r="DR27" i="1" s="1"/>
  <c r="DS25" i="1" l="1"/>
  <c r="DF26" i="1"/>
  <c r="DF10" i="1"/>
  <c r="DF8" i="1" s="1"/>
  <c r="DF2" i="1"/>
  <c r="K14" i="19"/>
  <c r="K15" i="19"/>
  <c r="K12" i="19"/>
  <c r="K11" i="19"/>
  <c r="K13" i="19"/>
  <c r="K9" i="19"/>
  <c r="L21" i="19" s="1"/>
  <c r="K7" i="19"/>
  <c r="K6" i="19"/>
  <c r="K5" i="19"/>
  <c r="K4" i="19"/>
  <c r="K3" i="19"/>
  <c r="DE26" i="1"/>
  <c r="DE16" i="1"/>
  <c r="DQ27" i="1" s="1"/>
  <c r="L10" i="19" l="1"/>
  <c r="AM10" i="18"/>
  <c r="L2" i="19"/>
  <c r="DR25" i="1"/>
  <c r="AM2" i="18"/>
  <c r="AQ19" i="18" s="1"/>
  <c r="DE10" i="1"/>
  <c r="DE8" i="1" s="1"/>
  <c r="DE2" i="1"/>
  <c r="DD16" i="1"/>
  <c r="DP27" i="1" s="1"/>
  <c r="L8" i="19" l="1"/>
  <c r="AM8" i="18"/>
  <c r="DQ25" i="1"/>
  <c r="DD26" i="1"/>
  <c r="DD10" i="1"/>
  <c r="DD8" i="1" s="1"/>
  <c r="DD2" i="1"/>
  <c r="DC16" i="1"/>
  <c r="DC26" i="1"/>
  <c r="DC10" i="1"/>
  <c r="DC8" i="1" s="1"/>
  <c r="DC2" i="1"/>
  <c r="DB16" i="1"/>
  <c r="DB26" i="1"/>
  <c r="DB2" i="1"/>
  <c r="DN25" i="1" s="1"/>
  <c r="DO27" i="1" l="1"/>
  <c r="DN27" i="1"/>
  <c r="AL8" i="18"/>
  <c r="AL10" i="18"/>
  <c r="DP25" i="1"/>
  <c r="DO25" i="1"/>
  <c r="AL2" i="18"/>
  <c r="AP19" i="18" s="1"/>
  <c r="AK14" i="18"/>
  <c r="AK15" i="18"/>
  <c r="AK12" i="18"/>
  <c r="AK11" i="18"/>
  <c r="AK13" i="18"/>
  <c r="AK9" i="18"/>
  <c r="AO20" i="18" s="1"/>
  <c r="AK7" i="18"/>
  <c r="AK6" i="18"/>
  <c r="AK5" i="18"/>
  <c r="AK4" i="18"/>
  <c r="AK3" i="18"/>
  <c r="DB10" i="1"/>
  <c r="DB8" i="1" s="1"/>
  <c r="DA16" i="1"/>
  <c r="DM27" i="1" s="1"/>
  <c r="DA26" i="1" l="1"/>
  <c r="DA10" i="1"/>
  <c r="DA8" i="1" s="1"/>
  <c r="DA2" i="1"/>
  <c r="CZ16" i="1"/>
  <c r="DL27" i="1" s="1"/>
  <c r="DM25" i="1" l="1"/>
  <c r="CZ10" i="1"/>
  <c r="CZ8" i="1" s="1"/>
  <c r="CZ2" i="1"/>
  <c r="CZ26" i="1"/>
  <c r="AJ9" i="18"/>
  <c r="AN20" i="18" s="1"/>
  <c r="AJ14" i="18"/>
  <c r="AJ15" i="18"/>
  <c r="AJ12" i="18"/>
  <c r="AJ11" i="18"/>
  <c r="AJ13" i="18"/>
  <c r="AJ7" i="18"/>
  <c r="AJ6" i="18"/>
  <c r="AJ5" i="18"/>
  <c r="AJ4" i="18"/>
  <c r="AJ3" i="18"/>
  <c r="CY16" i="1"/>
  <c r="DK27" i="1" s="1"/>
  <c r="AK8" i="18" l="1"/>
  <c r="AK10" i="18"/>
  <c r="DL25" i="1"/>
  <c r="AK2" i="18"/>
  <c r="AO19" i="18" s="1"/>
  <c r="CY26" i="1"/>
  <c r="CY10" i="1"/>
  <c r="CY8" i="1" s="1"/>
  <c r="CY2" i="1"/>
  <c r="CX16" i="1"/>
  <c r="DJ27" i="1" s="1"/>
  <c r="DK25" i="1" l="1"/>
  <c r="CX26" i="1"/>
  <c r="CX10" i="1"/>
  <c r="CX8" i="1" s="1"/>
  <c r="CX2" i="1"/>
  <c r="CW16" i="1"/>
  <c r="DI27" i="1" s="1"/>
  <c r="CU10" i="1"/>
  <c r="CU8" i="1" s="1"/>
  <c r="CV10" i="1"/>
  <c r="CV8" i="1" s="1"/>
  <c r="CW10" i="1"/>
  <c r="CW8" i="1" s="1"/>
  <c r="AJ10" i="18" l="1"/>
  <c r="AJ8" i="18"/>
  <c r="DJ25" i="1"/>
  <c r="CW26" i="1"/>
  <c r="CW2" i="1"/>
  <c r="CV16" i="1"/>
  <c r="DH27" i="1" s="1"/>
  <c r="DI25" i="1" l="1"/>
  <c r="AJ2" i="18"/>
  <c r="AN19" i="18" s="1"/>
  <c r="AI14" i="18"/>
  <c r="AI15" i="18"/>
  <c r="AI12" i="18"/>
  <c r="AI11" i="18"/>
  <c r="AI13" i="18"/>
  <c r="AI9" i="18"/>
  <c r="AI7" i="18"/>
  <c r="AI6" i="18"/>
  <c r="AI5" i="18"/>
  <c r="AI4" i="18"/>
  <c r="AI3" i="18"/>
  <c r="CV26" i="1"/>
  <c r="CV2" i="1"/>
  <c r="CU16" i="1"/>
  <c r="DG27" i="1" s="1"/>
  <c r="DH25" i="1" l="1"/>
  <c r="AM20" i="18"/>
  <c r="CU26" i="1"/>
  <c r="CU2" i="1"/>
  <c r="CT16" i="1"/>
  <c r="DF27" i="1" s="1"/>
  <c r="DG25" i="1" l="1"/>
  <c r="CT10" i="1" l="1"/>
  <c r="CT8" i="1" s="1"/>
  <c r="CT2" i="1"/>
  <c r="CT26" i="1"/>
  <c r="CS16" i="1"/>
  <c r="DE27" i="1" s="1"/>
  <c r="K10" i="19" l="1"/>
  <c r="AI10" i="18"/>
  <c r="K2" i="19"/>
  <c r="L20" i="19" s="1"/>
  <c r="DF25" i="1"/>
  <c r="AI2" i="18"/>
  <c r="AM19" i="18" s="1"/>
  <c r="AH14" i="18"/>
  <c r="AH15" i="18"/>
  <c r="AH12" i="18"/>
  <c r="AH11" i="18"/>
  <c r="AH13" i="18"/>
  <c r="AH9" i="18"/>
  <c r="AH7" i="18"/>
  <c r="AH6" i="18"/>
  <c r="AH5" i="18"/>
  <c r="AH4" i="18"/>
  <c r="AH3" i="18"/>
  <c r="J14" i="19"/>
  <c r="J15" i="19"/>
  <c r="J12" i="19"/>
  <c r="J11" i="19"/>
  <c r="J13" i="19"/>
  <c r="J9" i="19"/>
  <c r="K21" i="19" s="1"/>
  <c r="J7" i="19"/>
  <c r="J6" i="19"/>
  <c r="J5" i="19"/>
  <c r="J4" i="19"/>
  <c r="J3" i="19"/>
  <c r="CS26" i="1"/>
  <c r="CS10" i="1"/>
  <c r="CS8" i="1" s="1"/>
  <c r="CS2" i="1"/>
  <c r="CR16" i="1"/>
  <c r="DD27" i="1" s="1"/>
  <c r="K8" i="19" l="1"/>
  <c r="AI8" i="18"/>
  <c r="DE25" i="1"/>
  <c r="AL20" i="18"/>
  <c r="CR26" i="1"/>
  <c r="CR10" i="1"/>
  <c r="CR8" i="1" s="1"/>
  <c r="CR2" i="1"/>
  <c r="CQ16" i="1"/>
  <c r="DC27" i="1" s="1"/>
  <c r="DD25" i="1" l="1"/>
  <c r="CQ26" i="1"/>
  <c r="CQ10" i="1"/>
  <c r="CQ8" i="1" s="1"/>
  <c r="CQ2" i="1"/>
  <c r="CP16" i="1"/>
  <c r="DB27" i="1" s="1"/>
  <c r="AH8" i="18" l="1"/>
  <c r="AH10" i="18"/>
  <c r="DC25" i="1"/>
  <c r="AH2" i="18"/>
  <c r="AL19" i="18" s="1"/>
  <c r="AG14" i="18"/>
  <c r="AG15" i="18"/>
  <c r="AG12" i="18"/>
  <c r="AG11" i="18"/>
  <c r="AG13" i="18"/>
  <c r="AG9" i="18"/>
  <c r="AG7" i="18"/>
  <c r="AG6" i="18"/>
  <c r="AG5" i="18"/>
  <c r="AG4" i="18"/>
  <c r="AG3" i="18"/>
  <c r="CP26" i="1"/>
  <c r="CP10" i="1"/>
  <c r="CP8" i="1" s="1"/>
  <c r="CP2" i="1"/>
  <c r="CO26" i="1"/>
  <c r="CO16" i="1"/>
  <c r="DA27" i="1" s="1"/>
  <c r="CO10" i="1"/>
  <c r="CO8" i="1" s="1"/>
  <c r="CO2" i="1"/>
  <c r="CN16" i="1"/>
  <c r="CZ27" i="1" s="1"/>
  <c r="DB25" i="1" l="1"/>
  <c r="DA25" i="1"/>
  <c r="AK20" i="18"/>
  <c r="CN26" i="1"/>
  <c r="CN10" i="1"/>
  <c r="CN8" i="1" s="1"/>
  <c r="CN2" i="1"/>
  <c r="AG2" i="18" s="1"/>
  <c r="CM16" i="1"/>
  <c r="CY27" i="1" s="1"/>
  <c r="AF12" i="18"/>
  <c r="AG10" i="18" l="1"/>
  <c r="AG8" i="18"/>
  <c r="CZ25" i="1"/>
  <c r="AK19" i="18"/>
  <c r="AF14" i="18"/>
  <c r="AF15" i="18"/>
  <c r="AF11" i="18"/>
  <c r="AF13" i="18"/>
  <c r="AF9" i="18"/>
  <c r="AF7" i="18"/>
  <c r="AF6" i="18"/>
  <c r="AF5" i="18"/>
  <c r="AF4" i="18"/>
  <c r="AF3" i="18"/>
  <c r="CM26" i="1"/>
  <c r="CM10" i="1"/>
  <c r="CM8" i="1" s="1"/>
  <c r="CM2" i="1"/>
  <c r="CL16" i="1"/>
  <c r="CX27" i="1" s="1"/>
  <c r="CL26" i="1"/>
  <c r="CL10" i="1"/>
  <c r="CL8" i="1" s="1"/>
  <c r="CL2" i="1"/>
  <c r="CK16" i="1"/>
  <c r="CW27" i="1" s="1"/>
  <c r="CY25" i="1" l="1"/>
  <c r="CX25" i="1"/>
  <c r="AJ20" i="18"/>
  <c r="CK26" i="1"/>
  <c r="CK10" i="1"/>
  <c r="CK8" i="1" s="1"/>
  <c r="CK2" i="1"/>
  <c r="AE14" i="18"/>
  <c r="AE15" i="18"/>
  <c r="AE12" i="18"/>
  <c r="AE11" i="18"/>
  <c r="AE13" i="18"/>
  <c r="AE9" i="18"/>
  <c r="AI20" i="18" s="1"/>
  <c r="AE7" i="18"/>
  <c r="AE6" i="18"/>
  <c r="AE5" i="18"/>
  <c r="AE4" i="18"/>
  <c r="AE3" i="18"/>
  <c r="CJ16" i="1"/>
  <c r="AF8" i="18" l="1"/>
  <c r="AF10" i="18"/>
  <c r="CV27" i="1"/>
  <c r="CW25" i="1"/>
  <c r="AF2" i="18"/>
  <c r="AJ19" i="18" s="1"/>
  <c r="CJ26" i="1"/>
  <c r="CJ10" i="1"/>
  <c r="CJ8" i="1" s="1"/>
  <c r="CJ2" i="1"/>
  <c r="CI16" i="1"/>
  <c r="CU27" i="1" s="1"/>
  <c r="CV25" i="1" l="1"/>
  <c r="CI26" i="1"/>
  <c r="CI10" i="1"/>
  <c r="CI8" i="1" s="1"/>
  <c r="CI2" i="1"/>
  <c r="CH16" i="1"/>
  <c r="CT27" i="1" s="1"/>
  <c r="CU25" i="1" l="1"/>
  <c r="CH26" i="1"/>
  <c r="CH10" i="1"/>
  <c r="CH8" i="1" s="1"/>
  <c r="CH2" i="1"/>
  <c r="CG16" i="1"/>
  <c r="CS27" i="1" s="1"/>
  <c r="J10" i="19" l="1"/>
  <c r="AE10" i="18"/>
  <c r="CT25" i="1"/>
  <c r="J2" i="19"/>
  <c r="K20" i="19" s="1"/>
  <c r="AE2" i="18"/>
  <c r="AI19" i="18" s="1"/>
  <c r="I14" i="19"/>
  <c r="I15" i="19"/>
  <c r="I12" i="19"/>
  <c r="I11" i="19"/>
  <c r="I13" i="19"/>
  <c r="I9" i="19"/>
  <c r="I7" i="19"/>
  <c r="I6" i="19"/>
  <c r="I5" i="19"/>
  <c r="I4" i="19"/>
  <c r="I3" i="19"/>
  <c r="AD14" i="18"/>
  <c r="AD15" i="18"/>
  <c r="AD12" i="18"/>
  <c r="AD11" i="18"/>
  <c r="AD13" i="18"/>
  <c r="AD9" i="18"/>
  <c r="AD7" i="18"/>
  <c r="AD6" i="18"/>
  <c r="AD5" i="18"/>
  <c r="AD4" i="18"/>
  <c r="AD3" i="18"/>
  <c r="CG26" i="1"/>
  <c r="CG10" i="1"/>
  <c r="CG8" i="1" s="1"/>
  <c r="CG2" i="1"/>
  <c r="CF16" i="1"/>
  <c r="CR27" i="1" s="1"/>
  <c r="J8" i="19" l="1"/>
  <c r="AE8" i="18"/>
  <c r="CS25" i="1"/>
  <c r="J21" i="19"/>
  <c r="AH20" i="18"/>
  <c r="CF26" i="1"/>
  <c r="CF10" i="1"/>
  <c r="CF8" i="1" s="1"/>
  <c r="CF2" i="1"/>
  <c r="CE16" i="1"/>
  <c r="CQ27" i="1" s="1"/>
  <c r="CE26" i="1"/>
  <c r="CE10" i="1"/>
  <c r="CE8" i="1" s="1"/>
  <c r="CE2" i="1"/>
  <c r="AC14" i="18"/>
  <c r="AC15" i="18"/>
  <c r="AC12" i="18"/>
  <c r="AC11" i="18"/>
  <c r="AC13" i="18"/>
  <c r="AC9" i="18"/>
  <c r="AG20" i="18" s="1"/>
  <c r="AC7" i="18"/>
  <c r="AC6" i="18"/>
  <c r="AC5" i="18"/>
  <c r="AC4" i="18"/>
  <c r="AC3" i="18"/>
  <c r="AB3" i="18"/>
  <c r="AB4" i="18"/>
  <c r="AB5" i="18"/>
  <c r="AB6" i="18"/>
  <c r="AB7" i="18"/>
  <c r="CD16" i="1"/>
  <c r="CP27" i="1" s="1"/>
  <c r="AD8" i="18" l="1"/>
  <c r="AD2" i="18"/>
  <c r="AH19" i="18" s="1"/>
  <c r="AD10" i="18"/>
  <c r="CQ25" i="1"/>
  <c r="CR25" i="1"/>
  <c r="CD26" i="1"/>
  <c r="CD10" i="1"/>
  <c r="CD8" i="1" s="1"/>
  <c r="CD2" i="1"/>
  <c r="CC16" i="1"/>
  <c r="CO27" i="1" s="1"/>
  <c r="CP25" i="1" l="1"/>
  <c r="CC26" i="1"/>
  <c r="CC10" i="1"/>
  <c r="CC8" i="1" s="1"/>
  <c r="CC2" i="1"/>
  <c r="CB16" i="1"/>
  <c r="CN27" i="1" s="1"/>
  <c r="CO25" i="1" l="1"/>
  <c r="CB26" i="1"/>
  <c r="CB10" i="1"/>
  <c r="CB8" i="1" s="1"/>
  <c r="CB2" i="1"/>
  <c r="CN25" i="1" s="1"/>
  <c r="AB14" i="18"/>
  <c r="AB15" i="18"/>
  <c r="AB12" i="18"/>
  <c r="AB11" i="18"/>
  <c r="AB13" i="18"/>
  <c r="AB9" i="18"/>
  <c r="AF20" i="18" s="1"/>
  <c r="CA16" i="1"/>
  <c r="CM27" i="1" s="1"/>
  <c r="AC2" i="18" l="1"/>
  <c r="AG19" i="18" s="1"/>
  <c r="AC8" i="18"/>
  <c r="AC10" i="18"/>
  <c r="CA26" i="1"/>
  <c r="CA10" i="1"/>
  <c r="CA8" i="1" s="1"/>
  <c r="CA2" i="1"/>
  <c r="BZ16" i="1"/>
  <c r="CL27" i="1" s="1"/>
  <c r="CM25" i="1" l="1"/>
  <c r="BZ26" i="1"/>
  <c r="BZ10" i="1"/>
  <c r="BZ8" i="1" s="1"/>
  <c r="BZ2" i="1"/>
  <c r="CL25" i="1" s="1"/>
  <c r="BW26" i="1"/>
  <c r="BX26" i="1"/>
  <c r="BY26" i="1"/>
  <c r="BY16" i="1"/>
  <c r="CK27" i="1" s="1"/>
  <c r="BY10" i="1" l="1"/>
  <c r="BY8" i="1" s="1"/>
  <c r="BY2" i="1"/>
  <c r="CK25" i="1" s="1"/>
  <c r="BX16" i="1"/>
  <c r="CJ27" i="1" s="1"/>
  <c r="AA14" i="18"/>
  <c r="AA15" i="18"/>
  <c r="AA12" i="18"/>
  <c r="AA11" i="18"/>
  <c r="AA13" i="18"/>
  <c r="AA9" i="18"/>
  <c r="AE20" i="18" s="1"/>
  <c r="AA7" i="18"/>
  <c r="AA6" i="18"/>
  <c r="AA5" i="18"/>
  <c r="AA4" i="18"/>
  <c r="AA3" i="18"/>
  <c r="AB2" i="18" l="1"/>
  <c r="AF19" i="18" s="1"/>
  <c r="AB8" i="18"/>
  <c r="AB10" i="18"/>
  <c r="BX10" i="1"/>
  <c r="BX8" i="1" s="1"/>
  <c r="BX2" i="1"/>
  <c r="BW16" i="1"/>
  <c r="CI27" i="1" s="1"/>
  <c r="CJ25" i="1" l="1"/>
  <c r="BW10" i="1"/>
  <c r="BW8" i="1" s="1"/>
  <c r="BW2" i="1"/>
  <c r="BV16" i="1"/>
  <c r="CH27" i="1" s="1"/>
  <c r="BV26" i="1"/>
  <c r="CI25" i="1" l="1"/>
  <c r="BV10" i="1"/>
  <c r="BV8" i="1" s="1"/>
  <c r="BV2" i="1"/>
  <c r="BU16" i="1"/>
  <c r="CG27" i="1" s="1"/>
  <c r="I10" i="19" l="1"/>
  <c r="CH25" i="1"/>
  <c r="I2" i="19"/>
  <c r="J20" i="19" s="1"/>
  <c r="AA10" i="18"/>
  <c r="AA2" i="18"/>
  <c r="AE19" i="18" s="1"/>
  <c r="H7" i="19"/>
  <c r="G7" i="19"/>
  <c r="H11" i="19"/>
  <c r="H12" i="19"/>
  <c r="H15" i="19"/>
  <c r="H14" i="19"/>
  <c r="H9" i="19"/>
  <c r="I21" i="19" s="1"/>
  <c r="H13" i="19"/>
  <c r="H3" i="19"/>
  <c r="H4" i="19"/>
  <c r="H5" i="19"/>
  <c r="H6" i="19"/>
  <c r="Z14" i="18"/>
  <c r="Z3" i="18"/>
  <c r="Z4" i="18"/>
  <c r="Z5" i="18"/>
  <c r="Z6" i="18"/>
  <c r="Z7" i="18"/>
  <c r="Z9" i="18"/>
  <c r="AD20" i="18" s="1"/>
  <c r="Z13" i="18"/>
  <c r="Z11" i="18"/>
  <c r="Z12" i="18"/>
  <c r="Z15" i="18"/>
  <c r="AA8" i="18" l="1"/>
  <c r="I8" i="19"/>
  <c r="BU26" i="1"/>
  <c r="BU10" i="1"/>
  <c r="BU8" i="1" s="1"/>
  <c r="BU2" i="1"/>
  <c r="CG25" i="1" l="1"/>
  <c r="BT26" i="1"/>
  <c r="BT16" i="1"/>
  <c r="CF27" i="1" s="1"/>
  <c r="BT10" i="1" l="1"/>
  <c r="BT8" i="1" s="1"/>
  <c r="BT2" i="1"/>
  <c r="CF25" i="1" s="1"/>
  <c r="BS16" i="1" l="1"/>
  <c r="CE27" i="1" s="1"/>
  <c r="BS26" i="1"/>
  <c r="BS10" i="1" l="1"/>
  <c r="BS8" i="1" s="1"/>
  <c r="BS2" i="1"/>
  <c r="CE25" i="1" s="1"/>
  <c r="Z2" i="18" l="1"/>
  <c r="AD19" i="18" s="1"/>
  <c r="Z8" i="18"/>
  <c r="Z10" i="18"/>
  <c r="BR16" i="1"/>
  <c r="CD27" i="1" s="1"/>
  <c r="BR26" i="1"/>
  <c r="Y3" i="18" l="1"/>
  <c r="Y4" i="18"/>
  <c r="Y5" i="18"/>
  <c r="Y6" i="18"/>
  <c r="Y7" i="18"/>
  <c r="Y9" i="18"/>
  <c r="AC20" i="18" s="1"/>
  <c r="Y13" i="18"/>
  <c r="Y11" i="18"/>
  <c r="Y12" i="18"/>
  <c r="Y15" i="18"/>
  <c r="Y14" i="18"/>
  <c r="BR10" i="1"/>
  <c r="BR8" i="1" s="1"/>
  <c r="BR2" i="1"/>
  <c r="CD25" i="1" s="1"/>
  <c r="BQ16" i="1" l="1"/>
  <c r="CC27" i="1" s="1"/>
  <c r="BQ26" i="1"/>
  <c r="BP2" i="1"/>
  <c r="CB25" i="1" s="1"/>
  <c r="BQ10" i="1" l="1"/>
  <c r="BQ8" i="1" s="1"/>
  <c r="BQ2" i="1"/>
  <c r="CC25" i="1" s="1"/>
  <c r="Y2" i="18" l="1"/>
  <c r="AC19" i="18" s="1"/>
  <c r="BP16" i="1"/>
  <c r="CB27" i="1" s="1"/>
  <c r="BP26" i="1"/>
  <c r="BP10" i="1" l="1"/>
  <c r="BP8" i="1" s="1"/>
  <c r="Y8" i="18" l="1"/>
  <c r="Y10" i="18"/>
  <c r="X3" i="18"/>
  <c r="X14" i="18"/>
  <c r="X15" i="18"/>
  <c r="X12" i="18"/>
  <c r="X11" i="18"/>
  <c r="X13" i="18"/>
  <c r="X9" i="18"/>
  <c r="AB20" i="18" s="1"/>
  <c r="X7" i="18"/>
  <c r="X6" i="18"/>
  <c r="X5" i="18"/>
  <c r="X4" i="18"/>
  <c r="BO16" i="1"/>
  <c r="CA27" i="1" s="1"/>
  <c r="BO26" i="1"/>
  <c r="BO10" i="1"/>
  <c r="BO8" i="1" s="1"/>
  <c r="BO2" i="1"/>
  <c r="CA25" i="1" l="1"/>
  <c r="BN26" i="1"/>
  <c r="BM26" i="1"/>
  <c r="BN16" i="1"/>
  <c r="BZ27" i="1" s="1"/>
  <c r="BN10" i="1" l="1"/>
  <c r="BN8" i="1" s="1"/>
  <c r="BN2" i="1"/>
  <c r="BZ25" i="1" l="1"/>
  <c r="BM16" i="1"/>
  <c r="BY27" i="1" s="1"/>
  <c r="BL10" i="1" l="1"/>
  <c r="BL8" i="1" s="1"/>
  <c r="BK10" i="1"/>
  <c r="BK8" i="1" s="1"/>
  <c r="BM10" i="1"/>
  <c r="BM8" i="1" s="1"/>
  <c r="BM2" i="1"/>
  <c r="X2" i="18" l="1"/>
  <c r="AB19" i="18" s="1"/>
  <c r="BY25" i="1"/>
  <c r="X8" i="18"/>
  <c r="X10" i="18"/>
  <c r="W3" i="18"/>
  <c r="W4" i="18"/>
  <c r="W5" i="18"/>
  <c r="W6" i="18"/>
  <c r="W7" i="18"/>
  <c r="W9" i="18"/>
  <c r="AA20" i="18" s="1"/>
  <c r="W13" i="18"/>
  <c r="W11" i="18"/>
  <c r="W12" i="18"/>
  <c r="W15" i="18"/>
  <c r="W14" i="18"/>
  <c r="BL16" i="1"/>
  <c r="BX27" i="1" s="1"/>
  <c r="BL26" i="1" l="1"/>
  <c r="BL2" i="1"/>
  <c r="BX25" i="1" s="1"/>
  <c r="BK2" i="1"/>
  <c r="BW25" i="1" l="1"/>
  <c r="BK26" i="1"/>
  <c r="BK16" i="1"/>
  <c r="BW27" i="1" s="1"/>
  <c r="BJ16" i="1" l="1"/>
  <c r="BV27" i="1" s="1"/>
  <c r="BJ10" i="1" l="1"/>
  <c r="BJ8" i="1" s="1"/>
  <c r="BJ2" i="1"/>
  <c r="H10" i="19" l="1"/>
  <c r="H2" i="19"/>
  <c r="I20" i="19" s="1"/>
  <c r="BV25" i="1"/>
  <c r="W2" i="18"/>
  <c r="AA19" i="18" s="1"/>
  <c r="W10" i="18"/>
  <c r="BJ26" i="1"/>
  <c r="W8" i="18" l="1"/>
  <c r="H8" i="19"/>
  <c r="BG2" i="1"/>
  <c r="BS25" i="1" s="1"/>
  <c r="G3" i="19" l="1"/>
  <c r="G4" i="19"/>
  <c r="G5" i="19"/>
  <c r="G6" i="19"/>
  <c r="G9" i="19"/>
  <c r="H21" i="19" s="1"/>
  <c r="G13" i="19"/>
  <c r="G11" i="19"/>
  <c r="G12" i="19"/>
  <c r="G14" i="19"/>
  <c r="V11" i="18"/>
  <c r="V12" i="18"/>
  <c r="U11" i="18"/>
  <c r="U12" i="18"/>
  <c r="T11" i="18"/>
  <c r="T12" i="18"/>
  <c r="S12" i="18"/>
  <c r="S11" i="18"/>
  <c r="V14" i="18"/>
  <c r="V15" i="18"/>
  <c r="V3" i="18"/>
  <c r="V4" i="18"/>
  <c r="V5" i="18"/>
  <c r="V6" i="18"/>
  <c r="V9" i="18"/>
  <c r="Z20" i="18" s="1"/>
  <c r="V13" i="18"/>
  <c r="BI16" i="1" l="1"/>
  <c r="BU27" i="1" s="1"/>
  <c r="BI26" i="1"/>
  <c r="BI10" i="1"/>
  <c r="BI8" i="1" s="1"/>
  <c r="BI2" i="1"/>
  <c r="BU25" i="1" s="1"/>
  <c r="BI27" i="1" l="1"/>
  <c r="BH16" i="1"/>
  <c r="BT27" i="1" s="1"/>
  <c r="BH26" i="1"/>
  <c r="BH10" i="1"/>
  <c r="BH8" i="1" s="1"/>
  <c r="BH2" i="1"/>
  <c r="BH27" i="1" l="1"/>
  <c r="V2" i="18"/>
  <c r="Z19" i="18" s="1"/>
  <c r="BT25" i="1"/>
  <c r="BG16" i="1"/>
  <c r="BS27" i="1" s="1"/>
  <c r="BG26" i="1" l="1"/>
  <c r="BG27" i="1"/>
  <c r="BG10" i="1" l="1"/>
  <c r="BG8" i="1" s="1"/>
  <c r="V8" i="18" l="1"/>
  <c r="V10" i="18"/>
  <c r="BE10" i="1"/>
  <c r="BE8" i="1" s="1"/>
  <c r="BF10" i="1"/>
  <c r="BF8" i="1" s="1"/>
  <c r="BF2" i="1"/>
  <c r="BR25" i="1" s="1"/>
  <c r="BF26" i="1"/>
  <c r="BF16" i="1"/>
  <c r="BF27" i="1" l="1"/>
  <c r="BR27" i="1"/>
  <c r="U14" i="18"/>
  <c r="U15" i="18"/>
  <c r="U3" i="18"/>
  <c r="U4" i="18"/>
  <c r="U5" i="18"/>
  <c r="U6" i="18"/>
  <c r="U9" i="18"/>
  <c r="Y20" i="18" s="1"/>
  <c r="U13" i="18"/>
  <c r="BE16" i="1" l="1"/>
  <c r="BQ27" i="1" s="1"/>
  <c r="BE26" i="1"/>
  <c r="BE27" i="1" l="1"/>
  <c r="BE2" i="1"/>
  <c r="BQ25" i="1" s="1"/>
  <c r="F14" i="19" l="1"/>
  <c r="F3" i="19"/>
  <c r="F4" i="19"/>
  <c r="F5" i="19"/>
  <c r="F6" i="19"/>
  <c r="F9" i="19"/>
  <c r="G21" i="19" s="1"/>
  <c r="F13" i="19"/>
  <c r="T14" i="18"/>
  <c r="T3" i="18"/>
  <c r="T4" i="18"/>
  <c r="T5" i="18"/>
  <c r="T6" i="18"/>
  <c r="T9" i="18"/>
  <c r="X20" i="18" s="1"/>
  <c r="T13" i="18"/>
  <c r="S14" i="18"/>
  <c r="S3" i="18"/>
  <c r="S4" i="18"/>
  <c r="S5" i="18"/>
  <c r="S6" i="18"/>
  <c r="S9" i="18"/>
  <c r="W20" i="18" s="1"/>
  <c r="S13" i="18"/>
  <c r="R14" i="18"/>
  <c r="R3" i="18"/>
  <c r="R4" i="18"/>
  <c r="R5" i="18"/>
  <c r="R6" i="18"/>
  <c r="V21" i="18"/>
  <c r="R9" i="18"/>
  <c r="V20" i="18" s="1"/>
  <c r="R13" i="18"/>
  <c r="Q14" i="18"/>
  <c r="Q9" i="18"/>
  <c r="U20" i="18" s="1"/>
  <c r="Q13" i="18"/>
  <c r="Q3" i="18"/>
  <c r="Q4" i="18"/>
  <c r="Q5" i="18"/>
  <c r="Q6" i="18"/>
  <c r="U21" i="18"/>
  <c r="BD16" i="1" l="1"/>
  <c r="BD26" i="1"/>
  <c r="BD27" i="1" l="1"/>
  <c r="BP27" i="1"/>
  <c r="BD10" i="1"/>
  <c r="BD8" i="1" s="1"/>
  <c r="BD2" i="1"/>
  <c r="U2" i="18" l="1"/>
  <c r="Y19" i="18" s="1"/>
  <c r="BP25" i="1"/>
  <c r="U8" i="18"/>
  <c r="U10" i="18"/>
  <c r="BC16" i="1"/>
  <c r="BC26" i="1"/>
  <c r="BC10" i="1"/>
  <c r="BC8" i="1" s="1"/>
  <c r="BC2" i="1"/>
  <c r="BO25" i="1" l="1"/>
  <c r="BC27" i="1"/>
  <c r="BO27" i="1"/>
  <c r="BB16" i="1"/>
  <c r="BN27" i="1" s="1"/>
  <c r="BA16" i="1"/>
  <c r="BM27" i="1" s="1"/>
  <c r="AZ16" i="1"/>
  <c r="BL27" i="1" s="1"/>
  <c r="AY16" i="1" l="1"/>
  <c r="BK27" i="1" s="1"/>
  <c r="AX16" i="1"/>
  <c r="BJ27" i="1" s="1"/>
  <c r="AV27" i="1"/>
  <c r="AN10" i="1"/>
  <c r="AO10" i="1"/>
  <c r="AP10" i="1"/>
  <c r="AQ10" i="1"/>
  <c r="AR10" i="1"/>
  <c r="AS10" i="1"/>
  <c r="AT10" i="1"/>
  <c r="AU10" i="1"/>
  <c r="AV10" i="1"/>
  <c r="AW10" i="1"/>
  <c r="AX10" i="1"/>
  <c r="AX8" i="1" s="1"/>
  <c r="AY10" i="1"/>
  <c r="AY8" i="1" s="1"/>
  <c r="AZ10" i="1"/>
  <c r="AZ8" i="1" s="1"/>
  <c r="BA10" i="1"/>
  <c r="BA8" i="1" s="1"/>
  <c r="BB10" i="1"/>
  <c r="BB8" i="1" s="1"/>
  <c r="AM10" i="1"/>
  <c r="T10" i="18" l="1"/>
  <c r="G15" i="19"/>
  <c r="S10" i="18"/>
  <c r="G10" i="19"/>
  <c r="S15" i="18"/>
  <c r="T15" i="18"/>
  <c r="AY2" i="1"/>
  <c r="BK25" i="1" s="1"/>
  <c r="AZ2" i="1"/>
  <c r="BA2" i="1"/>
  <c r="BM25" i="1" s="1"/>
  <c r="BB2" i="1"/>
  <c r="AX2" i="1"/>
  <c r="BN25" i="1" l="1"/>
  <c r="BL25" i="1"/>
  <c r="BJ25" i="1"/>
  <c r="G2" i="19"/>
  <c r="H20" i="19" s="1"/>
  <c r="G8" i="19"/>
  <c r="T8" i="18"/>
  <c r="S2" i="18"/>
  <c r="W19" i="18" s="1"/>
  <c r="T2" i="18"/>
  <c r="X19" i="18" s="1"/>
  <c r="S8" i="18"/>
  <c r="AX26" i="1"/>
  <c r="AY26" i="1"/>
  <c r="AZ26" i="1"/>
  <c r="BA26" i="1"/>
  <c r="BB26" i="1"/>
  <c r="AX27" i="1"/>
  <c r="AY27" i="1"/>
  <c r="AZ27" i="1"/>
  <c r="BA27" i="1"/>
  <c r="BB27" i="1"/>
  <c r="P14" i="18" l="1"/>
  <c r="P13" i="18"/>
  <c r="P9" i="18"/>
  <c r="T20" i="18" s="1"/>
  <c r="T21" i="18"/>
  <c r="P6" i="18"/>
  <c r="P5" i="18"/>
  <c r="P4" i="18"/>
  <c r="P3" i="18"/>
  <c r="AO26" i="1" l="1"/>
  <c r="AP26" i="1"/>
  <c r="AQ26" i="1"/>
  <c r="AR26" i="1"/>
  <c r="AS26" i="1"/>
  <c r="AT26" i="1"/>
  <c r="AU26" i="1"/>
  <c r="AV26" i="1"/>
  <c r="AW26" i="1"/>
  <c r="AO27" i="1"/>
  <c r="AP27" i="1"/>
  <c r="AQ27" i="1"/>
  <c r="AR27" i="1"/>
  <c r="AS27" i="1"/>
  <c r="AT27" i="1"/>
  <c r="AU27" i="1"/>
  <c r="AW27" i="1"/>
  <c r="O14" i="18" l="1"/>
  <c r="O13" i="18"/>
  <c r="O9" i="18"/>
  <c r="S20" i="18" s="1"/>
  <c r="S21" i="18"/>
  <c r="O6" i="18"/>
  <c r="O5" i="18"/>
  <c r="O4" i="18"/>
  <c r="O3" i="18"/>
  <c r="AN26" i="1" l="1"/>
  <c r="AN27" i="1"/>
  <c r="AL26" i="1" l="1"/>
  <c r="AM26" i="1"/>
  <c r="AL27" i="1"/>
  <c r="AM27" i="1"/>
  <c r="AL2" i="1"/>
  <c r="AM2" i="1"/>
  <c r="AN2" i="1"/>
  <c r="AZ25" i="1" s="1"/>
  <c r="AO2" i="1"/>
  <c r="BA25" i="1" s="1"/>
  <c r="AP2" i="1"/>
  <c r="AQ2" i="1"/>
  <c r="BC25" i="1" s="1"/>
  <c r="AR2" i="1"/>
  <c r="AS2" i="1"/>
  <c r="BE25" i="1" s="1"/>
  <c r="AT2" i="1"/>
  <c r="AU2" i="1"/>
  <c r="AV2" i="1"/>
  <c r="BH25" i="1" s="1"/>
  <c r="AW2" i="1"/>
  <c r="BI25" i="1" s="1"/>
  <c r="BF25" i="1" l="1"/>
  <c r="BG25" i="1"/>
  <c r="AY25" i="1"/>
  <c r="F2" i="19"/>
  <c r="G20" i="19" s="1"/>
  <c r="AX25" i="1"/>
  <c r="Q8" i="18"/>
  <c r="Q15" i="18"/>
  <c r="R2" i="18"/>
  <c r="V19" i="18" s="1"/>
  <c r="R8" i="18"/>
  <c r="R15" i="18"/>
  <c r="BB25" i="1"/>
  <c r="Q2" i="18"/>
  <c r="U19" i="18" s="1"/>
  <c r="BD25" i="1"/>
  <c r="P8" i="18"/>
  <c r="P15" i="18"/>
  <c r="P2" i="18"/>
  <c r="T19" i="18" s="1"/>
  <c r="O15" i="18"/>
  <c r="O2" i="18"/>
  <c r="S19" i="18" s="1"/>
  <c r="AK26" i="1"/>
  <c r="AK27" i="1"/>
  <c r="O8" i="18" l="1"/>
  <c r="F8" i="19"/>
  <c r="AJ27" i="1"/>
  <c r="AJ26" i="1"/>
  <c r="AI26" i="1" l="1"/>
  <c r="AI27" i="1"/>
  <c r="AH26" i="1" l="1"/>
  <c r="AH27" i="1"/>
  <c r="AG26" i="1" l="1"/>
  <c r="AG27" i="1"/>
  <c r="AF26" i="1" l="1"/>
  <c r="AF27" i="1"/>
  <c r="AE26" i="1" l="1"/>
  <c r="AE27" i="1"/>
  <c r="AD27" i="1" l="1"/>
  <c r="AD26" i="1"/>
  <c r="AC26" i="1" l="1"/>
  <c r="AC27" i="1"/>
  <c r="AB26" i="1" l="1"/>
  <c r="AB27" i="1"/>
  <c r="AA26" i="1" l="1"/>
  <c r="AA27" i="1"/>
  <c r="N27" i="1" l="1"/>
  <c r="O27" i="1"/>
  <c r="P27" i="1"/>
  <c r="Q27" i="1"/>
  <c r="R27" i="1"/>
  <c r="S27" i="1"/>
  <c r="T27" i="1"/>
  <c r="U27" i="1"/>
  <c r="V27" i="1"/>
  <c r="W27" i="1"/>
  <c r="X27" i="1"/>
  <c r="Y27" i="1"/>
  <c r="Z27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K2" i="1" l="1"/>
  <c r="AW25" i="1" s="1"/>
  <c r="AJ2" i="1"/>
  <c r="AV25" i="1" s="1"/>
  <c r="AI2" i="1"/>
  <c r="AU25" i="1" s="1"/>
  <c r="AH2" i="1"/>
  <c r="AT25" i="1" s="1"/>
  <c r="AG2" i="1"/>
  <c r="AS25" i="1" s="1"/>
  <c r="AF2" i="1"/>
  <c r="AR25" i="1" s="1"/>
  <c r="AE2" i="1"/>
  <c r="AQ25" i="1" s="1"/>
  <c r="AD2" i="1"/>
  <c r="AP25" i="1" s="1"/>
  <c r="AC2" i="1"/>
  <c r="AO25" i="1" s="1"/>
  <c r="AB2" i="1"/>
  <c r="AN25" i="1" s="1"/>
  <c r="AA2" i="1"/>
  <c r="AM25" i="1" s="1"/>
  <c r="Z2" i="1"/>
  <c r="AL25" i="1" s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AK25" i="1" l="1"/>
  <c r="AJ25" i="1"/>
  <c r="P25" i="1"/>
  <c r="T25" i="1"/>
  <c r="X25" i="1"/>
  <c r="Q25" i="1"/>
  <c r="U25" i="1"/>
  <c r="Y25" i="1"/>
  <c r="N25" i="1"/>
  <c r="R25" i="1"/>
  <c r="V25" i="1"/>
  <c r="O25" i="1"/>
  <c r="S25" i="1"/>
  <c r="W25" i="1"/>
  <c r="AI25" i="1"/>
  <c r="AH25" i="1"/>
  <c r="AG25" i="1"/>
  <c r="AF25" i="1"/>
  <c r="AE25" i="1"/>
  <c r="AD25" i="1"/>
  <c r="AC25" i="1"/>
  <c r="AB25" i="1"/>
  <c r="Z25" i="1"/>
  <c r="AA25" i="1"/>
  <c r="E14" i="19"/>
  <c r="D14" i="19"/>
  <c r="C14" i="19"/>
  <c r="E13" i="19"/>
  <c r="D13" i="19"/>
  <c r="C13" i="19"/>
  <c r="E9" i="19"/>
  <c r="F21" i="19" s="1"/>
  <c r="D9" i="19"/>
  <c r="C9" i="19"/>
  <c r="E8" i="19"/>
  <c r="D8" i="19"/>
  <c r="C8" i="19"/>
  <c r="F22" i="19"/>
  <c r="E6" i="19"/>
  <c r="D6" i="19"/>
  <c r="C6" i="19"/>
  <c r="E5" i="19"/>
  <c r="D5" i="19"/>
  <c r="C5" i="19"/>
  <c r="E4" i="19"/>
  <c r="D4" i="19"/>
  <c r="C4" i="19"/>
  <c r="E3" i="19"/>
  <c r="D3" i="19"/>
  <c r="C3" i="19"/>
  <c r="E2" i="19"/>
  <c r="F20" i="19" s="1"/>
  <c r="D2" i="19"/>
  <c r="C2" i="19"/>
  <c r="N14" i="18"/>
  <c r="M14" i="18"/>
  <c r="L14" i="18"/>
  <c r="K14" i="18"/>
  <c r="J14" i="18"/>
  <c r="N15" i="18"/>
  <c r="M15" i="18"/>
  <c r="L15" i="18"/>
  <c r="K15" i="18"/>
  <c r="J15" i="18"/>
  <c r="N13" i="18"/>
  <c r="M13" i="18"/>
  <c r="L13" i="18"/>
  <c r="K13" i="18"/>
  <c r="J13" i="18"/>
  <c r="N9" i="18"/>
  <c r="R20" i="18" s="1"/>
  <c r="M9" i="18"/>
  <c r="Q20" i="18" s="1"/>
  <c r="L9" i="18"/>
  <c r="P20" i="18" s="1"/>
  <c r="K9" i="18"/>
  <c r="J9" i="18"/>
  <c r="N8" i="18"/>
  <c r="M8" i="18"/>
  <c r="L8" i="18"/>
  <c r="K8" i="18"/>
  <c r="J8" i="18"/>
  <c r="R21" i="18"/>
  <c r="Q21" i="18"/>
  <c r="O21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M3" i="18"/>
  <c r="L3" i="18"/>
  <c r="K3" i="18"/>
  <c r="J3" i="18"/>
  <c r="N2" i="18"/>
  <c r="R19" i="18" s="1"/>
  <c r="M2" i="18"/>
  <c r="Q19" i="18" s="1"/>
  <c r="L2" i="18"/>
  <c r="P19" i="18" s="1"/>
  <c r="K2" i="18"/>
  <c r="J2" i="18"/>
  <c r="I14" i="18"/>
  <c r="H14" i="18"/>
  <c r="G14" i="18"/>
  <c r="I15" i="18"/>
  <c r="H15" i="18"/>
  <c r="G15" i="18"/>
  <c r="I13" i="18"/>
  <c r="H13" i="18"/>
  <c r="G13" i="18"/>
  <c r="I9" i="18"/>
  <c r="H9" i="18"/>
  <c r="G9" i="18"/>
  <c r="I8" i="18"/>
  <c r="H8" i="18"/>
  <c r="G8" i="18"/>
  <c r="I6" i="18"/>
  <c r="H6" i="18"/>
  <c r="G6" i="18"/>
  <c r="I5" i="18"/>
  <c r="H5" i="18"/>
  <c r="G5" i="18"/>
  <c r="I4" i="18"/>
  <c r="H4" i="18"/>
  <c r="G4" i="18"/>
  <c r="I3" i="18"/>
  <c r="H3" i="18"/>
  <c r="G3" i="18"/>
  <c r="I2" i="18"/>
  <c r="H2" i="18"/>
  <c r="G2" i="18"/>
  <c r="F14" i="18"/>
  <c r="E14" i="18"/>
  <c r="D14" i="18"/>
  <c r="F15" i="18"/>
  <c r="E15" i="18"/>
  <c r="D15" i="18"/>
  <c r="F13" i="18"/>
  <c r="E13" i="18"/>
  <c r="D13" i="18"/>
  <c r="F9" i="18"/>
  <c r="E9" i="18"/>
  <c r="D9" i="18"/>
  <c r="F8" i="18"/>
  <c r="E8" i="18"/>
  <c r="D8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4" i="18"/>
  <c r="C15" i="18"/>
  <c r="C13" i="18"/>
  <c r="C9" i="18"/>
  <c r="C8" i="18"/>
  <c r="C6" i="18"/>
  <c r="C5" i="18"/>
  <c r="C4" i="18"/>
  <c r="C3" i="18"/>
  <c r="C2" i="18"/>
  <c r="M21" i="18" l="1"/>
  <c r="K19" i="18"/>
  <c r="O19" i="18"/>
  <c r="K20" i="18"/>
  <c r="O20" i="18"/>
  <c r="M19" i="18"/>
  <c r="L21" i="18"/>
  <c r="P21" i="18"/>
  <c r="M20" i="18"/>
  <c r="N20" i="18"/>
  <c r="N19" i="18"/>
  <c r="L19" i="18"/>
  <c r="K21" i="18"/>
  <c r="L20" i="18"/>
  <c r="N21" i="18"/>
  <c r="D22" i="19"/>
  <c r="E20" i="19"/>
  <c r="E21" i="19"/>
  <c r="D20" i="19"/>
  <c r="E22" i="19"/>
  <c r="D21" i="19"/>
  <c r="I19" i="18"/>
  <c r="I20" i="18"/>
  <c r="G21" i="18"/>
  <c r="G19" i="18"/>
  <c r="H21" i="18"/>
  <c r="G20" i="18"/>
  <c r="J19" i="18"/>
  <c r="J20" i="18"/>
  <c r="H19" i="18"/>
  <c r="I21" i="18"/>
  <c r="H20" i="18"/>
  <c r="J21" i="18"/>
</calcChain>
</file>

<file path=xl/sharedStrings.xml><?xml version="1.0" encoding="utf-8"?>
<sst xmlns="http://schemas.openxmlformats.org/spreadsheetml/2006/main" count="115" uniqueCount="88">
  <si>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</si>
  <si>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</si>
  <si>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</si>
  <si>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</si>
  <si>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</si>
  <si>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</si>
  <si>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</si>
  <si>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</si>
  <si>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</si>
  <si>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</si>
  <si>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</si>
  <si>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</si>
  <si>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</si>
  <si>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</si>
  <si>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</si>
  <si>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</si>
  <si>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Karksi GMJ</t>
  </si>
  <si>
    <t>Värska GMJ</t>
  </si>
  <si>
    <t>Narva GMJ</t>
  </si>
  <si>
    <t>Misso GMJ</t>
  </si>
  <si>
    <t>Transiit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</si>
  <si>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</si>
  <si>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</si>
  <si>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</si>
  <si>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</si>
  <si>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</si>
  <si>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</si>
  <si>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</si>
  <si>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</si>
  <si>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2019-Q1</t>
  </si>
  <si>
    <t>2019-Q2</t>
  </si>
  <si>
    <t>Balticconnector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</si>
  <si>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</si>
  <si>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</si>
  <si>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</si>
  <si>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</si>
  <si>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</si>
  <si>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</si>
  <si>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</si>
  <si>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</si>
  <si>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</si>
  <si>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</si>
  <si>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</si>
  <si>
    <t>2021-Q4</t>
  </si>
  <si>
    <t>2021</t>
  </si>
  <si>
    <t>2022-Q1</t>
  </si>
  <si>
    <t>2022-Q2</t>
  </si>
  <si>
    <t>2022-Q3</t>
  </si>
  <si>
    <t>2022-Q4</t>
  </si>
  <si>
    <t>2022</t>
  </si>
  <si>
    <t>2023-Q1</t>
  </si>
  <si>
    <t>2023-Q2</t>
  </si>
  <si>
    <t>2023-Q3</t>
  </si>
  <si>
    <t>2023-Q4</t>
  </si>
  <si>
    <t>2023</t>
  </si>
  <si>
    <t>2024-Q1</t>
  </si>
  <si>
    <t>2024-Q2</t>
  </si>
  <si>
    <t>2024-Q3</t>
  </si>
  <si>
    <t>2024-Q4</t>
  </si>
  <si>
    <t>2024</t>
  </si>
  <si>
    <t>2025-Q1</t>
  </si>
  <si>
    <t>2025-Q2</t>
  </si>
  <si>
    <t>2025-Q3</t>
  </si>
  <si>
    <t>2025-Q4</t>
  </si>
  <si>
    <t>2025</t>
  </si>
  <si>
    <t>2026-Q1</t>
  </si>
  <si>
    <t>1. Ülekandevõrku sisenenud gaas kokku</t>
  </si>
  <si>
    <t>1.1 Karksi GMJ</t>
  </si>
  <si>
    <t>1.2. Misso GMJ</t>
  </si>
  <si>
    <t>1.3. Balticconnector</t>
  </si>
  <si>
    <t>2. Ülekandevõrgust väljunud gaas kokku</t>
  </si>
  <si>
    <t>2.1. Sisemaine ülekandeteenus</t>
  </si>
  <si>
    <t>2.2. Eksport</t>
  </si>
  <si>
    <t>2.2.1. Karksi</t>
  </si>
  <si>
    <t>2.2.2. Balticconnector</t>
  </si>
  <si>
    <t>3.1. Võrgust väljastatud tööde käigus</t>
  </si>
  <si>
    <t>3. Kogukaod ülekandevõrgus</t>
  </si>
  <si>
    <t>3.2. Muud kaod</t>
  </si>
  <si>
    <t>4.1. Sisemaise võrgu mahuvaru perioodi lõpus</t>
  </si>
  <si>
    <t>4.2. Balticconnectori mahuvaru perioodi lõpus</t>
  </si>
  <si>
    <t>4. Ülekandevõrgu mahuvaru muutus</t>
  </si>
  <si>
    <t>5. Ööpäevane MIN võrku sisenenud gaas</t>
  </si>
  <si>
    <t>6. Ööpäevane MAX võrku sisenenud gaas</t>
  </si>
  <si>
    <t>2026-Q2</t>
  </si>
  <si>
    <t>Eksport</t>
  </si>
  <si>
    <t>2026-Q3</t>
  </si>
  <si>
    <t>Kogukaod ülekandevõrgus</t>
  </si>
  <si>
    <t>Ülekandevõrgust väljunud gaas 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</si>
</sst>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10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family val="2"/>
      <charset val="222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b/>
      <sz val="13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charset val="186"/>
    </font>
    <font>
      <sz val="13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ordiaUPC"/>
      <family val="2"/>
      <charset val="186"/>
    </font>
    <font>
      <sz val="12"/>
      <color theme="1"/>
      <name val="CordiaUPC"/>
      <family val="2"/>
      <charset val="186"/>
    </font>
    <font>
      <sz val="13"/>
      <name val="Calibri"/>
      <family val="2"/>
      <charset val="186"/>
    </font>
    <font>
      <sz val="12"/>
      <name val="Calibri"/>
      <family val="2"/>
      <charset val="186"/>
      <scheme val="minor"/>
    </font>
    <font>
      <sz val="12"/>
      <name val="Calibri"/>
      <family val="2"/>
      <charset val="186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FE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4"/>
      </top>
      <bottom/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91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Alignment="1">
      <alignment horizontal="left"/>
    </xf>
    <xf numFmtId="3" fontId="19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/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9" fontId="18" fillId="0" borderId="0" xfId="1" applyFont="1" applyFill="1" applyAlignment="1"/>
    <xf numFmtId="3" fontId="19" fillId="0" borderId="0" xfId="0" applyNumberFormat="1" applyFont="1" applyAlignment="1">
      <alignment horizontal="center" vertical="center"/>
    </xf>
    <xf numFmtId="0" fontId="8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9" fillId="57" borderId="23" xfId="0" applyFont="1" applyFill="1" applyBorder="1"/>
    <xf numFmtId="169" fontId="19" fillId="0" borderId="0" xfId="0" applyNumberFormat="1" applyFont="1" applyAlignment="1">
      <alignment horizontal="center"/>
    </xf>
    <xf numFmtId="0" fontId="90" fillId="57" borderId="10" xfId="0" applyFont="1" applyFill="1" applyBorder="1" applyAlignment="1">
      <alignment horizontal="left"/>
    </xf>
    <xf numFmtId="168" fontId="90" fillId="57" borderId="10" xfId="0" quotePrefix="1" applyNumberFormat="1" applyFont="1" applyFill="1" applyBorder="1" applyAlignment="1">
      <alignment horizontal="center"/>
    </xf>
    <xf numFmtId="168" fontId="90" fillId="57" borderId="10" xfId="0" quotePrefix="1" applyNumberFormat="1" applyFont="1" applyFill="1" applyBorder="1"/>
    <xf numFmtId="0" fontId="91" fillId="0" borderId="0" xfId="0" applyFont="1" applyAlignment="1">
      <alignment horizontal="left"/>
    </xf>
    <xf numFmtId="3" fontId="91" fillId="0" borderId="0" xfId="0" applyNumberFormat="1" applyFont="1" applyAlignment="1">
      <alignment horizontal="center"/>
    </xf>
    <xf numFmtId="3" fontId="91" fillId="0" borderId="0" xfId="0" applyNumberFormat="1" applyFont="1" applyAlignment="1">
      <alignment horizontal="center" vertical="center"/>
    </xf>
    <xf numFmtId="0" fontId="90" fillId="58" borderId="0" xfId="0" applyFont="1" applyFill="1" applyAlignment="1">
      <alignment horizontal="left"/>
    </xf>
    <xf numFmtId="3" fontId="90" fillId="58" borderId="0" xfId="0" applyNumberFormat="1" applyFont="1" applyFill="1" applyAlignment="1">
      <alignment horizontal="center"/>
    </xf>
    <xf numFmtId="3" fontId="90" fillId="58" borderId="0" xfId="0" applyNumberFormat="1" applyFont="1" applyFill="1" applyAlignment="1">
      <alignment horizontal="center" vertical="center"/>
    </xf>
    <xf numFmtId="1" fontId="91" fillId="0" borderId="0" xfId="0" applyNumberFormat="1" applyFont="1" applyAlignment="1">
      <alignment horizontal="center"/>
    </xf>
    <xf numFmtId="0" fontId="91" fillId="0" borderId="0" xfId="0" applyFont="1" applyAlignment="1">
      <alignment horizontal="center"/>
    </xf>
    <xf numFmtId="3" fontId="91" fillId="0" borderId="0" xfId="0" applyNumberFormat="1" applyFont="1"/>
    <xf numFmtId="3" fontId="90" fillId="58" borderId="0" xfId="0" applyNumberFormat="1" applyFont="1" applyFill="1"/>
    <xf numFmtId="3" fontId="92" fillId="58" borderId="0" xfId="0" applyNumberFormat="1" applyFont="1" applyFill="1" applyAlignment="1">
      <alignment horizontal="center"/>
    </xf>
    <xf numFmtId="9" fontId="90" fillId="1" borderId="0" xfId="1" applyFont="1" applyFill="1" applyAlignment="1">
      <alignment horizontal="center"/>
    </xf>
    <xf numFmtId="9" fontId="90" fillId="0" borderId="0" xfId="1" applyFont="1" applyFill="1" applyAlignment="1">
      <alignment horizontal="center"/>
    </xf>
    <xf numFmtId="3" fontId="93" fillId="0" borderId="0" xfId="0" applyNumberFormat="1" applyFont="1" applyAlignment="1">
      <alignment horizontal="center"/>
    </xf>
    <xf numFmtId="3" fontId="94" fillId="58" borderId="0" xfId="0" applyNumberFormat="1" applyFont="1" applyFill="1" applyAlignment="1">
      <alignment horizontal="center"/>
    </xf>
    <xf numFmtId="3" fontId="95" fillId="58" borderId="0" xfId="0" applyNumberFormat="1" applyFont="1" applyFill="1" applyAlignment="1">
      <alignment horizontal="center"/>
    </xf>
    <xf numFmtId="0" fontId="89" fillId="57" borderId="10" xfId="0" applyFont="1" applyFill="1" applyBorder="1" applyAlignment="1">
      <alignment horizontal="left"/>
    </xf>
    <xf numFmtId="0" fontId="88" fillId="0" borderId="0" xfId="0" applyFont="1" applyAlignment="1">
      <alignment horizontal="left"/>
    </xf>
    <xf numFmtId="0" fontId="89" fillId="58" borderId="0" xfId="0" applyFont="1" applyFill="1" applyAlignment="1">
      <alignment horizontal="left"/>
    </xf>
    <xf numFmtId="3" fontId="97" fillId="0" borderId="0" xfId="0" applyNumberFormat="1" applyFont="1" applyAlignment="1">
      <alignment horizontal="center"/>
    </xf>
    <xf numFmtId="3" fontId="98" fillId="58" borderId="0" xfId="0" applyNumberFormat="1" applyFont="1" applyFill="1" applyAlignment="1">
      <alignment horizontal="center"/>
    </xf>
    <xf numFmtId="3" fontId="94" fillId="58" borderId="0" xfId="0" applyNumberFormat="1" applyFont="1" applyFill="1" applyAlignment="1">
      <alignment horizontal="center" vertical="center"/>
    </xf>
    <xf numFmtId="3" fontId="99" fillId="58" borderId="0" xfId="0" applyNumberFormat="1" applyFont="1" applyFill="1" applyAlignment="1">
      <alignment horizontal="center"/>
    </xf>
    <xf numFmtId="3" fontId="100" fillId="58" borderId="0" xfId="0" applyNumberFormat="1" applyFont="1" applyFill="1" applyAlignment="1">
      <alignment horizontal="center"/>
    </xf>
    <xf numFmtId="168" fontId="89" fillId="57" borderId="10" xfId="0" quotePrefix="1" applyNumberFormat="1" applyFont="1" applyFill="1" applyBorder="1" applyAlignment="1">
      <alignment horizontal="center"/>
    </xf>
    <xf numFmtId="3" fontId="19" fillId="0" borderId="0" xfId="0" applyNumberFormat="1" applyFont="1"/>
    <xf numFmtId="1" fontId="93" fillId="0" borderId="0" xfId="0" applyNumberFormat="1" applyFont="1" applyAlignment="1">
      <alignment horizontal="center"/>
    </xf>
    <xf numFmtId="1" fontId="94" fillId="58" borderId="0" xfId="0" applyNumberFormat="1" applyFont="1" applyFill="1" applyAlignment="1">
      <alignment horizontal="center"/>
    </xf>
    <xf numFmtId="168" fontId="102" fillId="57" borderId="10" xfId="0" quotePrefix="1" applyNumberFormat="1" applyFont="1" applyFill="1" applyBorder="1" applyAlignment="1">
      <alignment horizontal="center"/>
    </xf>
    <xf numFmtId="3" fontId="18" fillId="58" borderId="0" xfId="0" applyNumberFormat="1" applyFont="1" applyFill="1"/>
    <xf numFmtId="0" fontId="90" fillId="59" borderId="0" xfId="0" applyFont="1" applyFill="1" applyAlignment="1">
      <alignment horizontal="left"/>
    </xf>
    <xf numFmtId="3" fontId="90" fillId="0" borderId="0" xfId="0" applyNumberFormat="1" applyFont="1" applyAlignment="1">
      <alignment horizontal="center"/>
    </xf>
    <xf numFmtId="0" fontId="90" fillId="0" borderId="0" xfId="0" applyFont="1" applyAlignment="1">
      <alignment horizontal="center"/>
    </xf>
    <xf numFmtId="3" fontId="90" fillId="0" borderId="0" xfId="0" applyNumberFormat="1" applyFont="1" applyAlignment="1">
      <alignment horizontal="center" vertical="center"/>
    </xf>
    <xf numFmtId="1" fontId="90" fillId="0" borderId="0" xfId="0" applyNumberFormat="1" applyFont="1" applyAlignment="1">
      <alignment horizontal="center"/>
    </xf>
    <xf numFmtId="3" fontId="94" fillId="0" borderId="0" xfId="0" applyNumberFormat="1" applyFont="1" applyAlignment="1">
      <alignment horizontal="center"/>
    </xf>
    <xf numFmtId="0" fontId="98" fillId="0" borderId="0" xfId="0" applyFont="1" applyAlignment="1">
      <alignment horizontal="center"/>
    </xf>
    <xf numFmtId="3" fontId="98" fillId="0" borderId="0" xfId="0" applyNumberFormat="1" applyFont="1" applyAlignment="1">
      <alignment horizontal="center"/>
    </xf>
    <xf numFmtId="0" fontId="103" fillId="59" borderId="0" xfId="0" applyFont="1" applyFill="1"/>
    <xf numFmtId="3" fontId="90" fillId="59" borderId="0" xfId="0" applyNumberFormat="1" applyFont="1" applyFill="1" applyAlignment="1">
      <alignment horizontal="center"/>
    </xf>
    <xf numFmtId="0" fontId="104" fillId="0" borderId="0" xfId="0" applyFont="1"/>
    <xf numFmtId="0" fontId="91" fillId="0" borderId="0" xfId="0" applyFont="1" applyAlignment="1">
      <alignment horizontal="left" indent="1"/>
    </xf>
    <xf numFmtId="3" fontId="93" fillId="0" borderId="0" xfId="0" applyNumberFormat="1" applyFont="1" applyAlignment="1">
      <alignment horizontal="center" vertical="center"/>
    </xf>
    <xf numFmtId="3" fontId="97" fillId="0" borderId="0" xfId="0" applyNumberFormat="1" applyFont="1" applyAlignment="1">
      <alignment horizontal="center" vertical="center"/>
    </xf>
    <xf numFmtId="0" fontId="91" fillId="0" borderId="0" xfId="0" applyFont="1" applyAlignment="1">
      <alignment horizontal="left" indent="2"/>
    </xf>
    <xf numFmtId="3" fontId="94" fillId="59" borderId="0" xfId="0" applyNumberFormat="1" applyFont="1" applyFill="1" applyAlignment="1">
      <alignment horizontal="center"/>
    </xf>
    <xf numFmtId="3" fontId="93" fillId="0" borderId="24" xfId="0" applyNumberFormat="1" applyFont="1" applyBorder="1" applyAlignment="1">
      <alignment horizontal="center"/>
    </xf>
    <xf numFmtId="0" fontId="90" fillId="0" borderId="0" xfId="0" applyFont="1" applyAlignment="1">
      <alignment horizontal="left"/>
    </xf>
    <xf numFmtId="0" fontId="18" fillId="0" borderId="0" xfId="0" applyFont="1"/>
    <xf numFmtId="9" fontId="92" fillId="0" borderId="0" xfId="1" applyFont="1" applyFill="1" applyAlignment="1">
      <alignment horizontal="center"/>
    </xf>
    <xf numFmtId="9" fontId="100" fillId="0" borderId="0" xfId="1" applyFont="1" applyFill="1" applyAlignment="1">
      <alignment horizontal="center"/>
    </xf>
    <xf numFmtId="3" fontId="105" fillId="0" borderId="0" xfId="0" applyNumberFormat="1" applyFont="1" applyAlignment="1">
      <alignment horizontal="center"/>
    </xf>
    <xf numFmtId="3" fontId="106" fillId="0" borderId="0" xfId="0" applyNumberFormat="1" applyFont="1" applyAlignment="1">
      <alignment horizontal="center"/>
    </xf>
    <xf numFmtId="3" fontId="107" fillId="0" borderId="0" xfId="0" applyNumberFormat="1" applyFont="1" applyAlignment="1">
      <alignment horizontal="center"/>
    </xf>
    <xf numFmtId="3" fontId="0" fillId="0" borderId="0" xfId="0" applyNumberFormat="1"/>
    <xf numFmtId="3" fontId="103" fillId="59" borderId="0" xfId="0" applyNumberFormat="1" applyFont="1" applyFill="1" applyAlignment="1">
      <alignment horizontal="center"/>
    </xf>
    <xf numFmtId="3" fontId="89" fillId="59" borderId="0" xfId="0" applyNumberFormat="1" applyFont="1" applyFill="1" applyAlignment="1">
      <alignment horizontal="center"/>
    </xf>
    <xf numFmtId="3" fontId="95" fillId="59" borderId="0" xfId="0" applyNumberFormat="1" applyFont="1" applyFill="1" applyAlignment="1">
      <alignment horizontal="center"/>
    </xf>
    <xf numFmtId="0" fontId="16" fillId="59" borderId="0" xfId="0" applyFont="1" applyFill="1"/>
    <xf numFmtId="3" fontId="104" fillId="0" borderId="0" xfId="0" applyNumberFormat="1" applyFont="1" applyAlignment="1">
      <alignment horizontal="center"/>
    </xf>
    <xf numFmtId="3" fontId="101" fillId="0" borderId="0" xfId="0" applyNumberFormat="1" applyFont="1" applyAlignment="1">
      <alignment horizontal="center"/>
    </xf>
    <xf numFmtId="9" fontId="104" fillId="0" borderId="0" xfId="1" applyFont="1" applyFill="1" applyAlignment="1">
      <alignment horizontal="center"/>
    </xf>
    <xf numFmtId="0" fontId="89" fillId="59" borderId="0" xfId="0" applyFont="1" applyFill="1" applyAlignment="1">
      <alignment horizontal="left"/>
    </xf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1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E4DFE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DZ62"/>
  <sheetViews>
    <sheetView tabSelected="1" zoomScale="175" zoomScaleNormal="175" workbookViewId="0">
      <pane xSplit="1" topLeftCell="DT1" activePane="topRight" state="frozen"/>
      <selection pane="topRight" activeCell="DX30" sqref="DX30"/>
    </sheetView>
  </sheetViews>
  <sheetFormatPr defaultColWidth="9.1796875" defaultRowHeight="18.5"/>
  <cols>
    <col min="1" max="1" width="48" style="2" bestFit="1" customWidth="1"/>
    <col min="2" max="5" width="11.453125" style="5" hidden="1" customWidth="1"/>
    <col min="6" max="6" width="9.7265625" style="5" hidden="1" customWidth="1"/>
    <col min="7" max="11" width="11.453125" style="5" hidden="1" customWidth="1"/>
    <col min="12" max="18" width="9.7265625" style="5" hidden="1" customWidth="1"/>
    <col min="19" max="19" width="10" style="5" hidden="1" customWidth="1"/>
    <col min="20" max="23" width="11.7265625" style="5" hidden="1" customWidth="1"/>
    <col min="24" max="27" width="10" style="5" hidden="1" customWidth="1"/>
    <col min="28" max="28" width="11.7265625" style="5" hidden="1" customWidth="1"/>
    <col min="29" max="29" width="10" style="5" hidden="1" customWidth="1"/>
    <col min="30" max="31" width="10" style="4" hidden="1" customWidth="1"/>
    <col min="32" max="37" width="11.7265625" style="4" hidden="1" customWidth="1"/>
    <col min="38" max="39" width="13.7265625" style="4" hidden="1" customWidth="1"/>
    <col min="40" max="41" width="10" style="4" hidden="1" customWidth="1"/>
    <col min="42" max="46" width="11.7265625" style="4" hidden="1" customWidth="1"/>
    <col min="47" max="47" width="12.1796875" style="4" hidden="1" customWidth="1"/>
    <col min="48" max="48" width="11.453125" style="4" hidden="1" customWidth="1"/>
    <col min="49" max="49" width="9.81640625" style="4" hidden="1" customWidth="1"/>
    <col min="50" max="50" width="11.81640625" style="4" hidden="1" customWidth="1"/>
    <col min="51" max="51" width="11.26953125" style="4" hidden="1" customWidth="1"/>
    <col min="52" max="52" width="12.26953125" style="4" hidden="1" customWidth="1"/>
    <col min="53" max="53" width="11.7265625" style="4" hidden="1" customWidth="1"/>
    <col min="54" max="55" width="9.7265625" style="4" hidden="1" customWidth="1"/>
    <col min="56" max="56" width="9.7265625" style="5" hidden="1" customWidth="1"/>
    <col min="57" max="57" width="10.1796875" style="3" hidden="1" customWidth="1"/>
    <col min="58" max="58" width="9.7265625" style="4" hidden="1" customWidth="1"/>
    <col min="59" max="59" width="10.7265625" style="4" hidden="1" customWidth="1"/>
    <col min="60" max="60" width="11.453125" style="4" hidden="1" customWidth="1"/>
    <col min="61" max="61" width="13.1796875" style="3" hidden="1" customWidth="1"/>
    <col min="62" max="62" width="11.54296875" style="4" hidden="1" customWidth="1"/>
    <col min="63" max="63" width="12.453125" style="4" hidden="1" customWidth="1"/>
    <col min="64" max="64" width="12.1796875" style="4" hidden="1" customWidth="1"/>
    <col min="65" max="65" width="11.26953125" style="4" hidden="1" customWidth="1"/>
    <col min="66" max="66" width="9.7265625" style="4" hidden="1" customWidth="1"/>
    <col min="67" max="67" width="11.1796875" style="3" hidden="1" customWidth="1"/>
    <col min="68" max="69" width="9.7265625" style="4" hidden="1" customWidth="1"/>
    <col min="70" max="70" width="9.7265625" style="3" hidden="1" customWidth="1"/>
    <col min="71" max="71" width="9.54296875" style="4" hidden="1" customWidth="1"/>
    <col min="72" max="72" width="12.7265625" style="3" hidden="1" customWidth="1"/>
    <col min="73" max="73" width="11.7265625" style="4" hidden="1" customWidth="1"/>
    <col min="74" max="74" width="13" style="4" hidden="1" customWidth="1"/>
    <col min="75" max="75" width="12.1796875" style="5" hidden="1" customWidth="1"/>
    <col min="76" max="77" width="11.81640625" style="4" hidden="1" customWidth="1"/>
    <col min="78" max="78" width="10.453125" style="4" hidden="1" customWidth="1"/>
    <col min="79" max="79" width="12.1796875" style="4" hidden="1" customWidth="1"/>
    <col min="80" max="80" width="9.7265625" style="5" hidden="1" customWidth="1"/>
    <col min="81" max="83" width="9.7265625" style="4" hidden="1" customWidth="1"/>
    <col min="84" max="84" width="10.7265625" style="4" hidden="1" customWidth="1"/>
    <col min="85" max="87" width="10.1796875" style="4" hidden="1" customWidth="1"/>
    <col min="88" max="88" width="11.453125" style="4" hidden="1" customWidth="1"/>
    <col min="89" max="92" width="9.7265625" style="4" hidden="1" customWidth="1"/>
    <col min="93" max="94" width="10.1796875" style="4" hidden="1" customWidth="1"/>
    <col min="95" max="95" width="9.1796875" style="5" hidden="1" customWidth="1"/>
    <col min="96" max="96" width="9.7265625" style="4" hidden="1" customWidth="1"/>
    <col min="97" max="97" width="0" style="4" hidden="1" customWidth="1"/>
    <col min="98" max="98" width="9.7265625" style="4" hidden="1" customWidth="1"/>
    <col min="99" max="99" width="0" style="4" hidden="1" customWidth="1"/>
    <col min="100" max="101" width="9.7265625" style="4" hidden="1" customWidth="1"/>
    <col min="102" max="102" width="10.1796875" style="4" hidden="1" customWidth="1"/>
    <col min="103" max="103" width="10.81640625" style="4" hidden="1" customWidth="1"/>
    <col min="104" max="104" width="0" style="4" hidden="1" customWidth="1"/>
    <col min="105" max="105" width="10.1796875" style="4" hidden="1" customWidth="1"/>
    <col min="106" max="108" width="9.7265625" style="4" hidden="1" customWidth="1"/>
    <col min="109" max="109" width="10.1796875" style="4" hidden="1" customWidth="1"/>
    <col min="110" max="110" width="12.26953125" style="4" hidden="1" customWidth="1"/>
    <col min="111" max="111" width="11.26953125" style="4" hidden="1" customWidth="1"/>
    <col min="112" max="112" width="10" style="4" hidden="1" customWidth="1"/>
    <col min="113" max="113" width="9.7265625" style="4" hidden="1" customWidth="1"/>
    <col min="114" max="114" width="10.1796875" style="4" hidden="1" customWidth="1"/>
    <col min="115" max="115" width="8.81640625" style="4" hidden="1" customWidth="1"/>
    <col min="116" max="116" width="10.36328125" style="4" hidden="1" customWidth="1"/>
    <col min="117" max="121" width="9.453125" style="4" hidden="1" customWidth="1"/>
    <col min="122" max="122" width="11" style="4" customWidth="1"/>
    <col min="123" max="123" width="10.7265625" style="4" bestFit="1" customWidth="1"/>
    <col min="124" max="124" width="9.81640625" style="4" customWidth="1"/>
    <col min="125" max="127" width="10.7265625" style="4" bestFit="1" customWidth="1"/>
    <col min="128" max="130" width="9.81640625" style="4" bestFit="1" customWidth="1"/>
    <col min="131" max="16384" width="9.1796875" style="4"/>
  </cols>
  <sheetData>
    <row r="1" spans="1:130" s="7" customFormat="1" ht="20" thickBot="1">
      <c r="A1" s="25" t="s">
        <v>25</v>
      </c>
      <c r="B1" s="26">
        <v>42370</v>
      </c>
      <c r="C1" s="26">
        <v>42401</v>
      </c>
      <c r="D1" s="26">
        <v>42430</v>
      </c>
      <c r="E1" s="26">
        <v>42461</v>
      </c>
      <c r="F1" s="26">
        <v>42491</v>
      </c>
      <c r="G1" s="26">
        <v>42522</v>
      </c>
      <c r="H1" s="26">
        <v>42552</v>
      </c>
      <c r="I1" s="26">
        <v>42583</v>
      </c>
      <c r="J1" s="26">
        <v>42614</v>
      </c>
      <c r="K1" s="26">
        <v>42644</v>
      </c>
      <c r="L1" s="26">
        <v>42675</v>
      </c>
      <c r="M1" s="26">
        <v>42705</v>
      </c>
      <c r="N1" s="26">
        <v>42736</v>
      </c>
      <c r="O1" s="26">
        <v>42767</v>
      </c>
      <c r="P1" s="26">
        <v>42795</v>
      </c>
      <c r="Q1" s="26">
        <v>42826</v>
      </c>
      <c r="R1" s="26">
        <v>42856</v>
      </c>
      <c r="S1" s="26">
        <v>42887</v>
      </c>
      <c r="T1" s="26">
        <v>42917</v>
      </c>
      <c r="U1" s="26">
        <v>42948</v>
      </c>
      <c r="V1" s="26">
        <v>42979</v>
      </c>
      <c r="W1" s="26">
        <v>43009</v>
      </c>
      <c r="X1" s="26">
        <v>43040</v>
      </c>
      <c r="Y1" s="26">
        <v>43070</v>
      </c>
      <c r="Z1" s="26">
        <v>43101</v>
      </c>
      <c r="AA1" s="26">
        <v>43132</v>
      </c>
      <c r="AB1" s="26">
        <v>43160</v>
      </c>
      <c r="AC1" s="26">
        <v>43191</v>
      </c>
      <c r="AD1" s="26">
        <v>43221</v>
      </c>
      <c r="AE1" s="26">
        <v>43252</v>
      </c>
      <c r="AF1" s="26">
        <v>43282</v>
      </c>
      <c r="AG1" s="26">
        <v>43313</v>
      </c>
      <c r="AH1" s="26">
        <v>43344</v>
      </c>
      <c r="AI1" s="26">
        <v>43374</v>
      </c>
      <c r="AJ1" s="26">
        <v>43405</v>
      </c>
      <c r="AK1" s="26">
        <v>43435</v>
      </c>
      <c r="AL1" s="26">
        <v>43466</v>
      </c>
      <c r="AM1" s="26">
        <v>43497</v>
      </c>
      <c r="AN1" s="26">
        <v>43525</v>
      </c>
      <c r="AO1" s="26">
        <v>43556</v>
      </c>
      <c r="AP1" s="26">
        <v>43586</v>
      </c>
      <c r="AQ1" s="26">
        <v>43617</v>
      </c>
      <c r="AR1" s="26">
        <v>43647</v>
      </c>
      <c r="AS1" s="26">
        <v>43678</v>
      </c>
      <c r="AT1" s="26">
        <v>43709</v>
      </c>
      <c r="AU1" s="26">
        <v>43739</v>
      </c>
      <c r="AV1" s="26">
        <v>43770</v>
      </c>
      <c r="AW1" s="26">
        <v>43800</v>
      </c>
      <c r="AX1" s="26">
        <v>43831</v>
      </c>
      <c r="AY1" s="26">
        <v>43862</v>
      </c>
      <c r="AZ1" s="26">
        <v>43891</v>
      </c>
      <c r="BA1" s="26">
        <v>43922</v>
      </c>
      <c r="BB1" s="26">
        <v>43952</v>
      </c>
      <c r="BC1" s="26">
        <v>43983</v>
      </c>
      <c r="BD1" s="26">
        <v>44013</v>
      </c>
      <c r="BE1" s="26">
        <v>44044</v>
      </c>
      <c r="BF1" s="26">
        <v>44075</v>
      </c>
      <c r="BG1" s="26">
        <v>44105</v>
      </c>
      <c r="BH1" s="26">
        <v>44136</v>
      </c>
      <c r="BI1" s="26">
        <v>44166</v>
      </c>
      <c r="BJ1" s="26">
        <v>44197</v>
      </c>
      <c r="BK1" s="26">
        <v>44228</v>
      </c>
      <c r="BL1" s="26">
        <v>44256</v>
      </c>
      <c r="BM1" s="26">
        <v>44287</v>
      </c>
      <c r="BN1" s="27">
        <v>44317</v>
      </c>
      <c r="BO1" s="27">
        <v>44348</v>
      </c>
      <c r="BP1" s="27">
        <v>44378</v>
      </c>
      <c r="BQ1" s="27">
        <v>44409</v>
      </c>
      <c r="BR1" s="27">
        <v>44440</v>
      </c>
      <c r="BS1" s="27">
        <v>44470</v>
      </c>
      <c r="BT1" s="26">
        <v>44501</v>
      </c>
      <c r="BU1" s="26">
        <v>44531</v>
      </c>
      <c r="BV1" s="26">
        <v>44562</v>
      </c>
      <c r="BW1" s="26">
        <v>44593</v>
      </c>
      <c r="BX1" s="26">
        <v>44621</v>
      </c>
      <c r="BY1" s="26">
        <v>44652</v>
      </c>
      <c r="BZ1" s="26">
        <v>44682</v>
      </c>
      <c r="CA1" s="26">
        <v>44713</v>
      </c>
      <c r="CB1" s="26">
        <v>44743</v>
      </c>
      <c r="CC1" s="26">
        <v>44774</v>
      </c>
      <c r="CD1" s="26">
        <v>44805</v>
      </c>
      <c r="CE1" s="26">
        <v>44835</v>
      </c>
      <c r="CF1" s="26">
        <v>44866</v>
      </c>
      <c r="CG1" s="26">
        <v>44896</v>
      </c>
      <c r="CH1" s="26">
        <v>44927</v>
      </c>
      <c r="CI1" s="52">
        <v>44958</v>
      </c>
      <c r="CJ1" s="52">
        <v>44986</v>
      </c>
      <c r="CK1" s="52">
        <v>45017</v>
      </c>
      <c r="CL1" s="52">
        <v>45047</v>
      </c>
      <c r="CM1" s="52">
        <v>45078</v>
      </c>
      <c r="CN1" s="52">
        <v>45108</v>
      </c>
      <c r="CO1" s="52">
        <v>45139</v>
      </c>
      <c r="CP1" s="52">
        <v>45170</v>
      </c>
      <c r="CQ1" s="52">
        <v>45200</v>
      </c>
      <c r="CR1" s="52">
        <v>45231</v>
      </c>
      <c r="CS1" s="52">
        <v>45261</v>
      </c>
      <c r="CT1" s="52">
        <v>45292</v>
      </c>
      <c r="CU1" s="52">
        <v>45323</v>
      </c>
      <c r="CV1" s="52">
        <v>45352</v>
      </c>
      <c r="CW1" s="52">
        <v>45383</v>
      </c>
      <c r="CX1" s="52">
        <v>45413</v>
      </c>
      <c r="CY1" s="52">
        <v>45444</v>
      </c>
      <c r="CZ1" s="52">
        <v>45474</v>
      </c>
      <c r="DA1" s="52">
        <v>45505</v>
      </c>
      <c r="DB1" s="52">
        <v>45536</v>
      </c>
      <c r="DC1" s="52">
        <v>45566</v>
      </c>
      <c r="DD1" s="52">
        <v>45597</v>
      </c>
      <c r="DE1" s="52">
        <v>45627</v>
      </c>
      <c r="DF1" s="52">
        <v>45658</v>
      </c>
      <c r="DG1" s="52">
        <v>45689</v>
      </c>
      <c r="DH1" s="52">
        <v>45717</v>
      </c>
      <c r="DI1" s="52">
        <v>45748</v>
      </c>
      <c r="DJ1" s="52">
        <v>45778</v>
      </c>
      <c r="DK1" s="52">
        <v>45809</v>
      </c>
      <c r="DL1" s="56">
        <v>45839</v>
      </c>
      <c r="DM1" s="56">
        <v>45870</v>
      </c>
      <c r="DN1" s="56">
        <v>45901</v>
      </c>
      <c r="DO1" s="56">
        <v>45931</v>
      </c>
      <c r="DP1" s="56">
        <v>45962</v>
      </c>
      <c r="DQ1" s="56">
        <v>45992</v>
      </c>
      <c r="DR1" s="56">
        <v>46023</v>
      </c>
      <c r="DS1" s="56">
        <v>46054</v>
      </c>
      <c r="DT1" s="56">
        <v>46082</v>
      </c>
      <c r="DU1" s="56">
        <v>46113</v>
      </c>
      <c r="DV1" s="56">
        <v>46143</v>
      </c>
      <c r="DW1" s="56">
        <v>46174</v>
      </c>
      <c r="DX1" s="56">
        <v>46204</v>
      </c>
      <c r="DY1" s="56">
        <v>46235</v>
      </c>
      <c r="DZ1" s="56">
        <v>46266</v>
      </c>
    </row>
    <row r="2" spans="1:130" s="11" customFormat="1" ht="19" thickTop="1">
      <c r="A2" s="31" t="s">
        <v>66</v>
      </c>
      <c r="B2" s="32">
        <f t="shared" ref="B2:AG2" si="0">SUM(B3:B6)</f>
        <v>1044919.66656</v>
      </c>
      <c r="C2" s="32">
        <f t="shared" si="0"/>
        <v>653357.2061500001</v>
      </c>
      <c r="D2" s="32">
        <f t="shared" si="0"/>
        <v>631309.77402000001</v>
      </c>
      <c r="E2" s="32">
        <f t="shared" si="0"/>
        <v>434614.88303999993</v>
      </c>
      <c r="F2" s="32">
        <f t="shared" si="0"/>
        <v>235808.00919999997</v>
      </c>
      <c r="G2" s="32">
        <f t="shared" si="0"/>
        <v>193180.04777999999</v>
      </c>
      <c r="H2" s="32">
        <f t="shared" si="0"/>
        <v>177085.93252</v>
      </c>
      <c r="I2" s="32">
        <f t="shared" si="0"/>
        <v>182312.63340000002</v>
      </c>
      <c r="J2" s="32">
        <f t="shared" si="0"/>
        <v>209852.82317000002</v>
      </c>
      <c r="K2" s="32">
        <f t="shared" si="0"/>
        <v>490727.83206000004</v>
      </c>
      <c r="L2" s="32">
        <f t="shared" si="0"/>
        <v>624819.24037999997</v>
      </c>
      <c r="M2" s="32">
        <f t="shared" si="0"/>
        <v>651521.11881000001</v>
      </c>
      <c r="N2" s="32">
        <f t="shared" si="0"/>
        <v>746088.31384000008</v>
      </c>
      <c r="O2" s="32">
        <f t="shared" si="0"/>
        <v>679829.12248000014</v>
      </c>
      <c r="P2" s="32">
        <f t="shared" si="0"/>
        <v>607778.40012999997</v>
      </c>
      <c r="Q2" s="32">
        <f t="shared" si="0"/>
        <v>455622.84400000004</v>
      </c>
      <c r="R2" s="32">
        <f t="shared" si="0"/>
        <v>303112.71400000004</v>
      </c>
      <c r="S2" s="32">
        <f t="shared" si="0"/>
        <v>185169.196</v>
      </c>
      <c r="T2" s="32">
        <f t="shared" si="0"/>
        <v>193042.64499999999</v>
      </c>
      <c r="U2" s="32">
        <f t="shared" si="0"/>
        <v>204225.91654000001</v>
      </c>
      <c r="V2" s="32">
        <f t="shared" si="0"/>
        <v>250259.147</v>
      </c>
      <c r="W2" s="32">
        <f t="shared" si="0"/>
        <v>464751.16515000013</v>
      </c>
      <c r="X2" s="32">
        <f t="shared" si="0"/>
        <v>532402.27513999993</v>
      </c>
      <c r="Y2" s="32">
        <f t="shared" si="0"/>
        <v>611527.52308000007</v>
      </c>
      <c r="Z2" s="32">
        <f t="shared" si="0"/>
        <v>709638.15131999995</v>
      </c>
      <c r="AA2" s="32">
        <f t="shared" si="0"/>
        <v>781133.85664000001</v>
      </c>
      <c r="AB2" s="32">
        <f t="shared" si="0"/>
        <v>766871.26</v>
      </c>
      <c r="AC2" s="32">
        <f t="shared" si="0"/>
        <v>393743.01666700002</v>
      </c>
      <c r="AD2" s="32">
        <f t="shared" si="0"/>
        <v>219047.84299999999</v>
      </c>
      <c r="AE2" s="32">
        <f t="shared" si="0"/>
        <v>187714.37499600003</v>
      </c>
      <c r="AF2" s="32">
        <f t="shared" si="0"/>
        <v>200075.54800000001</v>
      </c>
      <c r="AG2" s="32">
        <f t="shared" si="0"/>
        <v>179321.67169000002</v>
      </c>
      <c r="AH2" s="32">
        <f t="shared" ref="AH2:BK2" si="1">SUM(AH3:AH6)</f>
        <v>216108.01240000001</v>
      </c>
      <c r="AI2" s="32">
        <f t="shared" si="1"/>
        <v>402539.598</v>
      </c>
      <c r="AJ2" s="32">
        <f t="shared" si="1"/>
        <v>496319.09199999995</v>
      </c>
      <c r="AK2" s="32">
        <f t="shared" si="1"/>
        <v>688524.24</v>
      </c>
      <c r="AL2" s="32">
        <f t="shared" si="1"/>
        <v>789807.44700000004</v>
      </c>
      <c r="AM2" s="32">
        <f t="shared" si="1"/>
        <v>566760.62600000005</v>
      </c>
      <c r="AN2" s="32">
        <f t="shared" si="1"/>
        <v>563343.66499999992</v>
      </c>
      <c r="AO2" s="32">
        <f t="shared" si="1"/>
        <v>356611.10200000001</v>
      </c>
      <c r="AP2" s="32">
        <f t="shared" si="1"/>
        <v>275576.83999999997</v>
      </c>
      <c r="AQ2" s="32">
        <f t="shared" si="1"/>
        <v>170640.43400000001</v>
      </c>
      <c r="AR2" s="32">
        <f t="shared" si="1"/>
        <v>184074.40400000001</v>
      </c>
      <c r="AS2" s="32">
        <f t="shared" si="1"/>
        <v>204515.87599999999</v>
      </c>
      <c r="AT2" s="32">
        <f t="shared" si="1"/>
        <v>250902.18500000003</v>
      </c>
      <c r="AU2" s="32">
        <f t="shared" si="1"/>
        <v>384497.21900000004</v>
      </c>
      <c r="AV2" s="32">
        <f t="shared" si="1"/>
        <v>479380.13400000002</v>
      </c>
      <c r="AW2" s="32">
        <f t="shared" si="1"/>
        <v>582230.94299999997</v>
      </c>
      <c r="AX2" s="32">
        <f t="shared" si="1"/>
        <v>1456947.571</v>
      </c>
      <c r="AY2" s="32">
        <f t="shared" si="1"/>
        <v>1358002.6709999999</v>
      </c>
      <c r="AZ2" s="32">
        <f t="shared" si="1"/>
        <v>1462187.12</v>
      </c>
      <c r="BA2" s="32">
        <f t="shared" si="1"/>
        <v>1268969.7589999998</v>
      </c>
      <c r="BB2" s="32">
        <f t="shared" si="1"/>
        <v>570911.46600000001</v>
      </c>
      <c r="BC2" s="32">
        <f t="shared" si="1"/>
        <v>864361.78399999999</v>
      </c>
      <c r="BD2" s="32">
        <f t="shared" si="1"/>
        <v>755769.43200000003</v>
      </c>
      <c r="BE2" s="32">
        <f t="shared" si="1"/>
        <v>236383.87099999998</v>
      </c>
      <c r="BF2" s="33">
        <f t="shared" si="1"/>
        <v>915181.51600000006</v>
      </c>
      <c r="BG2" s="33">
        <f t="shared" si="1"/>
        <v>1246338.314</v>
      </c>
      <c r="BH2" s="33">
        <f t="shared" si="1"/>
        <v>1279159.1189999999</v>
      </c>
      <c r="BI2" s="33">
        <f t="shared" si="1"/>
        <v>1563709.077</v>
      </c>
      <c r="BJ2" s="33">
        <f t="shared" si="1"/>
        <v>1640281.584</v>
      </c>
      <c r="BK2" s="33">
        <f t="shared" si="1"/>
        <v>1565574.4689999998</v>
      </c>
      <c r="BL2" s="33">
        <f t="shared" ref="BL2:CQ2" si="2">SUM(BL3:BL7)</f>
        <v>1401411.2329999998</v>
      </c>
      <c r="BM2" s="33">
        <f t="shared" si="2"/>
        <v>1304947.2520000003</v>
      </c>
      <c r="BN2" s="33">
        <f t="shared" si="2"/>
        <v>427123.19</v>
      </c>
      <c r="BO2" s="33">
        <f t="shared" si="2"/>
        <v>477910.109</v>
      </c>
      <c r="BP2" s="33">
        <f t="shared" si="2"/>
        <v>321991.36900000001</v>
      </c>
      <c r="BQ2" s="33">
        <f t="shared" si="2"/>
        <v>608139.397</v>
      </c>
      <c r="BR2" s="33">
        <f t="shared" si="2"/>
        <v>627177.59299999999</v>
      </c>
      <c r="BS2" s="33">
        <f t="shared" si="2"/>
        <v>670588.57900000003</v>
      </c>
      <c r="BT2" s="33">
        <f t="shared" si="2"/>
        <v>1152691.4710000001</v>
      </c>
      <c r="BU2" s="33">
        <f t="shared" si="2"/>
        <v>1173364.7689999999</v>
      </c>
      <c r="BV2" s="33">
        <f t="shared" si="2"/>
        <v>1691356.767</v>
      </c>
      <c r="BW2" s="49">
        <f t="shared" si="2"/>
        <v>1267412.1969999999</v>
      </c>
      <c r="BX2" s="49">
        <f t="shared" si="2"/>
        <v>739813.24900000007</v>
      </c>
      <c r="BY2" s="49">
        <f t="shared" si="2"/>
        <v>714008.72</v>
      </c>
      <c r="BZ2" s="49">
        <f t="shared" si="2"/>
        <v>586632.26199999999</v>
      </c>
      <c r="CA2" s="49">
        <f t="shared" si="2"/>
        <v>966955.99400000006</v>
      </c>
      <c r="CB2" s="49">
        <f t="shared" si="2"/>
        <v>850645.27800000005</v>
      </c>
      <c r="CC2" s="49">
        <f t="shared" si="2"/>
        <v>857416.25</v>
      </c>
      <c r="CD2" s="49">
        <f t="shared" si="2"/>
        <v>808626.755</v>
      </c>
      <c r="CE2" s="49">
        <f t="shared" si="2"/>
        <v>678882.97600000002</v>
      </c>
      <c r="CF2" s="49">
        <f t="shared" si="2"/>
        <v>968291.53600000008</v>
      </c>
      <c r="CG2" s="49">
        <f t="shared" si="2"/>
        <v>1384170.9169999999</v>
      </c>
      <c r="CH2" s="49">
        <f t="shared" si="2"/>
        <v>1303925.2259999998</v>
      </c>
      <c r="CI2" s="49">
        <f t="shared" si="2"/>
        <v>1613259.7650000001</v>
      </c>
      <c r="CJ2" s="49">
        <f t="shared" si="2"/>
        <v>1425076.105</v>
      </c>
      <c r="CK2" s="49">
        <f t="shared" si="2"/>
        <v>907251.83400000003</v>
      </c>
      <c r="CL2" s="49">
        <f t="shared" si="2"/>
        <v>967505.06500000006</v>
      </c>
      <c r="CM2" s="49">
        <f t="shared" si="2"/>
        <v>903624.37199999997</v>
      </c>
      <c r="CN2" s="49">
        <f t="shared" si="2"/>
        <v>121781.224</v>
      </c>
      <c r="CO2" s="49">
        <f t="shared" si="2"/>
        <v>1018227.5009999999</v>
      </c>
      <c r="CP2" s="49">
        <f t="shared" si="2"/>
        <v>1049504.405</v>
      </c>
      <c r="CQ2" s="49">
        <f t="shared" si="2"/>
        <v>540745.07000000007</v>
      </c>
      <c r="CR2" s="49">
        <f t="shared" ref="CR2:DZ2" si="3">SUM(CR3:CR7)</f>
        <v>401584.26199999999</v>
      </c>
      <c r="CS2" s="49">
        <f t="shared" si="3"/>
        <v>551232.81599999999</v>
      </c>
      <c r="CT2" s="49">
        <f t="shared" si="3"/>
        <v>743599.77600000007</v>
      </c>
      <c r="CU2" s="49">
        <f t="shared" si="3"/>
        <v>473038.02399999998</v>
      </c>
      <c r="CV2" s="49">
        <f t="shared" si="3"/>
        <v>379364.81400000001</v>
      </c>
      <c r="CW2" s="49">
        <f t="shared" si="3"/>
        <v>809637.03900000011</v>
      </c>
      <c r="CX2" s="49">
        <f t="shared" si="3"/>
        <v>1902573.733</v>
      </c>
      <c r="CY2" s="49">
        <f t="shared" si="3"/>
        <v>1663843.8640000001</v>
      </c>
      <c r="CZ2" s="49">
        <f t="shared" si="3"/>
        <v>156674.394</v>
      </c>
      <c r="DA2" s="49">
        <f t="shared" si="3"/>
        <v>1558482.2179999999</v>
      </c>
      <c r="DB2" s="49">
        <f t="shared" si="3"/>
        <v>775326.43499999994</v>
      </c>
      <c r="DC2" s="49">
        <f t="shared" si="3"/>
        <v>452289.44300000003</v>
      </c>
      <c r="DD2" s="49">
        <f t="shared" si="3"/>
        <v>598349.277</v>
      </c>
      <c r="DE2" s="49">
        <f t="shared" si="3"/>
        <v>1225163.682</v>
      </c>
      <c r="DF2" s="49">
        <f t="shared" si="3"/>
        <v>1692225.6770000001</v>
      </c>
      <c r="DG2" s="49">
        <f t="shared" si="3"/>
        <v>1443160.6809999999</v>
      </c>
      <c r="DH2" s="49">
        <f t="shared" si="3"/>
        <v>1332995.004</v>
      </c>
      <c r="DI2" s="49">
        <f t="shared" si="3"/>
        <v>968703.85400000005</v>
      </c>
      <c r="DJ2" s="49">
        <f t="shared" si="3"/>
        <v>1008160.9569999999</v>
      </c>
      <c r="DK2" s="49">
        <f t="shared" si="3"/>
        <v>143842.791</v>
      </c>
      <c r="DL2" s="49">
        <f t="shared" si="3"/>
        <v>1550209.2350000001</v>
      </c>
      <c r="DM2" s="49">
        <f t="shared" si="3"/>
        <v>897805.25000000012</v>
      </c>
      <c r="DN2" s="49">
        <f t="shared" si="3"/>
        <v>719692.64099999995</v>
      </c>
      <c r="DO2" s="49">
        <f t="shared" si="3"/>
        <v>607980.00300000003</v>
      </c>
      <c r="DP2" s="49">
        <f t="shared" si="3"/>
        <v>954853.86899999995</v>
      </c>
      <c r="DQ2" s="49">
        <f t="shared" si="3"/>
        <v>762842.223</v>
      </c>
      <c r="DR2" s="49">
        <f t="shared" si="3"/>
        <v>2701837.4440000001</v>
      </c>
      <c r="DS2" s="49">
        <f t="shared" si="3"/>
        <v>2135536.3089999999</v>
      </c>
      <c r="DT2" s="49">
        <f t="shared" si="3"/>
        <v>471967.13</v>
      </c>
      <c r="DU2" s="49">
        <f t="shared" si="3"/>
        <v>1183958.0210000002</v>
      </c>
      <c r="DV2" s="49">
        <f t="shared" si="3"/>
        <v>1223657.7690000001</v>
      </c>
      <c r="DW2" s="49">
        <f t="shared" si="3"/>
        <v>771247.78300000005</v>
      </c>
      <c r="DX2" s="49">
        <f t="shared" si="3"/>
        <v>114642.43999999999</v>
      </c>
      <c r="DY2" s="49">
        <f t="shared" si="3"/>
        <v>757137.228</v>
      </c>
      <c r="DZ2" s="49">
        <f t="shared" si="3"/>
        <v>544753.06000000006</v>
      </c>
    </row>
    <row r="3" spans="1:130" ht="19.5">
      <c r="A3" s="69" t="s">
        <v>67</v>
      </c>
      <c r="B3" s="29">
        <v>1044688.5504000001</v>
      </c>
      <c r="C3" s="29">
        <v>653204.36830000009</v>
      </c>
      <c r="D3" s="29">
        <v>631157.71343999996</v>
      </c>
      <c r="E3" s="29">
        <v>434519.78660999995</v>
      </c>
      <c r="F3" s="29">
        <v>235787.55831999998</v>
      </c>
      <c r="G3" s="29">
        <v>36000.546150000002</v>
      </c>
      <c r="H3" s="29">
        <v>128595.10622</v>
      </c>
      <c r="I3" s="29">
        <v>62773.534189999998</v>
      </c>
      <c r="J3" s="29">
        <v>52278.085279999999</v>
      </c>
      <c r="K3" s="29">
        <v>85559.991930000004</v>
      </c>
      <c r="L3" s="29">
        <v>72474.714540000001</v>
      </c>
      <c r="M3" s="29">
        <v>46139.949840000001</v>
      </c>
      <c r="N3" s="29">
        <v>8968.9097600000005</v>
      </c>
      <c r="O3" s="29">
        <v>61312.172290000002</v>
      </c>
      <c r="P3" s="29">
        <v>190573.94897999999</v>
      </c>
      <c r="Q3" s="29">
        <v>47.209000000000003</v>
      </c>
      <c r="R3" s="29">
        <v>168116.42700000003</v>
      </c>
      <c r="S3" s="29">
        <v>161181.64799999999</v>
      </c>
      <c r="T3" s="29">
        <v>182138.91199999998</v>
      </c>
      <c r="U3" s="29">
        <v>203770.11199999999</v>
      </c>
      <c r="V3" s="29">
        <v>0</v>
      </c>
      <c r="W3" s="29">
        <v>12638.625</v>
      </c>
      <c r="X3" s="29">
        <v>214414.592</v>
      </c>
      <c r="Y3" s="29">
        <v>363171.53600000002</v>
      </c>
      <c r="Z3" s="29">
        <v>205283.32800000001</v>
      </c>
      <c r="AA3" s="29">
        <v>288858.89299999998</v>
      </c>
      <c r="AB3" s="29">
        <v>244324.45800000001</v>
      </c>
      <c r="AC3" s="29">
        <v>157694.55166699999</v>
      </c>
      <c r="AD3" s="29">
        <v>11362.688</v>
      </c>
      <c r="AE3" s="29">
        <v>3585.9839999999999</v>
      </c>
      <c r="AF3" s="29">
        <v>949.76</v>
      </c>
      <c r="AG3" s="29">
        <v>0</v>
      </c>
      <c r="AH3" s="29">
        <v>0</v>
      </c>
      <c r="AI3" s="29">
        <v>4206.8519999999999</v>
      </c>
      <c r="AJ3" s="29">
        <v>85839.555999999997</v>
      </c>
      <c r="AK3" s="29">
        <v>121553.92</v>
      </c>
      <c r="AL3" s="29">
        <v>317483.82900000003</v>
      </c>
      <c r="AM3" s="29">
        <v>327403.87800000003</v>
      </c>
      <c r="AN3" s="29">
        <v>510235.00799999997</v>
      </c>
      <c r="AO3" s="29">
        <v>94899.372000000003</v>
      </c>
      <c r="AP3" s="29">
        <v>0</v>
      </c>
      <c r="AQ3" s="29">
        <v>513.20899999999995</v>
      </c>
      <c r="AR3" s="29">
        <v>672.83299999999997</v>
      </c>
      <c r="AS3" s="29">
        <v>30324.659</v>
      </c>
      <c r="AT3" s="29">
        <v>2228.029</v>
      </c>
      <c r="AU3" s="29">
        <v>273191.951</v>
      </c>
      <c r="AV3" s="29">
        <v>421354.84100000001</v>
      </c>
      <c r="AW3" s="29">
        <v>471574.79300000001</v>
      </c>
      <c r="AX3" s="29">
        <v>1454942.507</v>
      </c>
      <c r="AY3" s="29">
        <v>1227913.6399999999</v>
      </c>
      <c r="AZ3" s="29">
        <v>926437.34100000001</v>
      </c>
      <c r="BA3" s="29">
        <v>982831.01199999999</v>
      </c>
      <c r="BB3" s="29">
        <v>20052.77</v>
      </c>
      <c r="BC3" s="34">
        <v>717109.94900000002</v>
      </c>
      <c r="BD3" s="29">
        <v>566586.41599999997</v>
      </c>
      <c r="BE3" s="29">
        <v>114518.73</v>
      </c>
      <c r="BF3" s="30">
        <v>732080.30500000005</v>
      </c>
      <c r="BG3" s="29">
        <v>1025827.954</v>
      </c>
      <c r="BH3" s="34">
        <v>1023030.41</v>
      </c>
      <c r="BI3" s="29">
        <v>1309325.04</v>
      </c>
      <c r="BJ3" s="29">
        <v>1603502.4439999999</v>
      </c>
      <c r="BK3" s="29">
        <v>1464036.895</v>
      </c>
      <c r="BL3" s="29">
        <v>1378567.993</v>
      </c>
      <c r="BM3" s="29">
        <v>1169304.7990000001</v>
      </c>
      <c r="BN3" s="29">
        <v>337602.57500000001</v>
      </c>
      <c r="BO3" s="29">
        <v>454697.98499999999</v>
      </c>
      <c r="BP3" s="29">
        <v>6126.2160000000003</v>
      </c>
      <c r="BQ3" s="29">
        <v>571395.83499999996</v>
      </c>
      <c r="BR3" s="29">
        <v>601978.80099999998</v>
      </c>
      <c r="BS3" s="29">
        <v>649814.33400000003</v>
      </c>
      <c r="BT3" s="29">
        <v>1156906.1140000001</v>
      </c>
      <c r="BU3" s="29">
        <v>1131635.7879999999</v>
      </c>
      <c r="BV3" s="17">
        <v>1691168.523</v>
      </c>
      <c r="BW3" s="41">
        <v>1207352.2649999999</v>
      </c>
      <c r="BX3" s="41">
        <v>18194.95</v>
      </c>
      <c r="BY3" s="47">
        <v>713904.46600000001</v>
      </c>
      <c r="BZ3" s="47">
        <v>366953.125</v>
      </c>
      <c r="CA3" s="41">
        <v>966941.37600000005</v>
      </c>
      <c r="CB3" s="41">
        <v>850637.26800000004</v>
      </c>
      <c r="CC3" s="41">
        <v>857408.72100000002</v>
      </c>
      <c r="CD3" s="41">
        <v>808587.25399999996</v>
      </c>
      <c r="CE3" s="41">
        <v>678807.76199999999</v>
      </c>
      <c r="CF3" s="41">
        <v>968175.54500000004</v>
      </c>
      <c r="CG3" s="41">
        <v>1384003.007</v>
      </c>
      <c r="CH3" s="41">
        <v>1303764.5959999999</v>
      </c>
      <c r="CI3" s="41">
        <v>1613120.7390000001</v>
      </c>
      <c r="CJ3" s="41">
        <v>1369905.936</v>
      </c>
      <c r="CK3" s="41">
        <v>79621.986000000004</v>
      </c>
      <c r="CL3" s="41">
        <v>25778.021000000001</v>
      </c>
      <c r="CM3" s="41">
        <v>0</v>
      </c>
      <c r="CN3" s="41">
        <v>20066.244999999999</v>
      </c>
      <c r="CO3" s="41">
        <v>24264.19</v>
      </c>
      <c r="CP3" s="41">
        <v>59462.254000000001</v>
      </c>
      <c r="CQ3" s="41">
        <v>274165.87699999998</v>
      </c>
      <c r="CR3" s="41">
        <v>401471.36599999998</v>
      </c>
      <c r="CS3" s="41">
        <v>551072.54700000002</v>
      </c>
      <c r="CT3" s="41">
        <v>743407.06</v>
      </c>
      <c r="CU3" s="41">
        <v>472908.27799999999</v>
      </c>
      <c r="CV3" s="41">
        <v>379263.29300000001</v>
      </c>
      <c r="CW3" s="41">
        <v>211492.23800000001</v>
      </c>
      <c r="CX3" s="41">
        <v>0</v>
      </c>
      <c r="CY3" s="41">
        <v>31469.665000000001</v>
      </c>
      <c r="CZ3" s="41">
        <v>0</v>
      </c>
      <c r="DA3" s="41">
        <v>0</v>
      </c>
      <c r="DB3" s="41">
        <v>210420.448</v>
      </c>
      <c r="DC3" s="41">
        <v>180657.37100000001</v>
      </c>
      <c r="DD3" s="41">
        <v>522838.25</v>
      </c>
      <c r="DE3" s="41">
        <v>1191626.4580000001</v>
      </c>
      <c r="DF3" s="41">
        <v>1692098.1580000001</v>
      </c>
      <c r="DG3" s="41">
        <v>1406222.3559999999</v>
      </c>
      <c r="DH3" s="41">
        <v>1332893.0419999999</v>
      </c>
      <c r="DI3" s="41">
        <v>819684.23100000003</v>
      </c>
      <c r="DJ3" s="41">
        <v>117613.446</v>
      </c>
      <c r="DK3" s="47">
        <v>101011.696</v>
      </c>
      <c r="DL3" s="47">
        <v>0</v>
      </c>
      <c r="DM3" s="41">
        <v>890069.61600000004</v>
      </c>
      <c r="DN3" s="41">
        <v>719679.25399999996</v>
      </c>
      <c r="DO3" s="41">
        <v>16360.328</v>
      </c>
      <c r="DP3" s="41">
        <v>650136.31299999997</v>
      </c>
      <c r="DQ3" s="41">
        <v>762720.56400000001</v>
      </c>
      <c r="DR3" s="47">
        <v>2701644.1869999999</v>
      </c>
      <c r="DS3" s="41">
        <v>2105409.9</v>
      </c>
      <c r="DT3" s="41">
        <v>191211.53599999999</v>
      </c>
      <c r="DU3" s="41">
        <v>499020.641</v>
      </c>
      <c r="DV3" s="41">
        <v>379687.44</v>
      </c>
      <c r="DW3" s="41">
        <v>620194.92000000004</v>
      </c>
      <c r="DX3" s="41">
        <v>0</v>
      </c>
      <c r="DY3" s="41">
        <v>476888.35700000002</v>
      </c>
      <c r="DZ3" s="41">
        <v>544736.03300000005</v>
      </c>
    </row>
    <row r="4" spans="1:130" ht="19.5" hidden="1">
      <c r="A4" s="69" t="s">
        <v>17</v>
      </c>
      <c r="B4" s="29">
        <v>0</v>
      </c>
      <c r="C4" s="29">
        <v>0</v>
      </c>
      <c r="D4" s="29">
        <v>0</v>
      </c>
      <c r="E4" s="29">
        <v>0</v>
      </c>
      <c r="F4" s="29">
        <v>0</v>
      </c>
      <c r="G4" s="29">
        <v>157166.61359999998</v>
      </c>
      <c r="H4" s="29">
        <v>48482.91994</v>
      </c>
      <c r="I4" s="29">
        <v>119527.85393000001</v>
      </c>
      <c r="J4" s="29">
        <v>157543.18687000001</v>
      </c>
      <c r="K4" s="29">
        <v>405051.38232000003</v>
      </c>
      <c r="L4" s="29">
        <v>552193.96460000006</v>
      </c>
      <c r="M4" s="29">
        <v>605220.60105000006</v>
      </c>
      <c r="N4" s="29">
        <v>736933.53080000007</v>
      </c>
      <c r="O4" s="29">
        <v>618356.31682000007</v>
      </c>
      <c r="P4" s="29">
        <v>417067.87135000003</v>
      </c>
      <c r="Q4" s="29">
        <v>455465.37500000006</v>
      </c>
      <c r="R4" s="29">
        <v>134944.908</v>
      </c>
      <c r="S4" s="29">
        <v>23969.624</v>
      </c>
      <c r="T4" s="29">
        <v>10890.787</v>
      </c>
      <c r="U4" s="29">
        <v>443.06200000000001</v>
      </c>
      <c r="V4" s="29">
        <v>250223.274</v>
      </c>
      <c r="W4" s="29">
        <v>452009.83360000013</v>
      </c>
      <c r="X4" s="29">
        <v>317857.71244999993</v>
      </c>
      <c r="Y4" s="29">
        <v>248194.38000000003</v>
      </c>
      <c r="Z4" s="29">
        <v>504174.41399999999</v>
      </c>
      <c r="AA4" s="29">
        <v>492087.56199999998</v>
      </c>
      <c r="AB4" s="29">
        <v>522371.97700000001</v>
      </c>
      <c r="AC4" s="29">
        <v>235958.95300000001</v>
      </c>
      <c r="AD4" s="29">
        <v>152529.14600000001</v>
      </c>
      <c r="AE4" s="29">
        <v>86200.232999999993</v>
      </c>
      <c r="AF4" s="29">
        <v>178838.45199999999</v>
      </c>
      <c r="AG4" s="29">
        <v>149335.61300000001</v>
      </c>
      <c r="AH4" s="29">
        <v>17002.366999999998</v>
      </c>
      <c r="AI4" s="29">
        <v>398244.67599999998</v>
      </c>
      <c r="AJ4" s="29">
        <v>410356.13299999997</v>
      </c>
      <c r="AK4" s="29">
        <v>566794.027</v>
      </c>
      <c r="AL4" s="29">
        <v>472120.44699999999</v>
      </c>
      <c r="AM4" s="29">
        <v>239211.147</v>
      </c>
      <c r="AN4" s="29">
        <v>52968.925000000003</v>
      </c>
      <c r="AO4" s="29">
        <v>261634.8</v>
      </c>
      <c r="AP4" s="29">
        <v>275538.55</v>
      </c>
      <c r="AQ4" s="29">
        <v>170119.67600000001</v>
      </c>
      <c r="AR4" s="29">
        <v>183390.429</v>
      </c>
      <c r="AS4" s="29">
        <v>174181.57</v>
      </c>
      <c r="AT4" s="29">
        <v>248632.08100000001</v>
      </c>
      <c r="AU4" s="29">
        <v>111206.378</v>
      </c>
      <c r="AV4" s="29">
        <v>57891.889000000003</v>
      </c>
      <c r="AW4" s="29">
        <v>110501.406</v>
      </c>
      <c r="AX4" s="29">
        <v>1858.0509999999999</v>
      </c>
      <c r="AY4" s="29">
        <v>129947.193</v>
      </c>
      <c r="AZ4" s="29">
        <v>535614.01800000004</v>
      </c>
      <c r="BA4" s="29">
        <v>286028.74900000001</v>
      </c>
      <c r="BB4" s="29">
        <v>550799.61899999995</v>
      </c>
      <c r="BC4" s="34">
        <v>147239.66699999999</v>
      </c>
      <c r="BD4" s="29">
        <v>189172.83599999998</v>
      </c>
      <c r="BE4" s="29">
        <v>121853.47899999999</v>
      </c>
      <c r="BF4" s="30">
        <v>183064.429</v>
      </c>
      <c r="BG4" s="29">
        <v>220426.386</v>
      </c>
      <c r="BH4" s="34">
        <v>256001.33100000001</v>
      </c>
      <c r="BI4" s="29">
        <v>254212.93799999999</v>
      </c>
      <c r="BJ4" s="29">
        <v>36582.090000000004</v>
      </c>
      <c r="BK4" s="29">
        <v>101340.451</v>
      </c>
      <c r="BL4" s="29">
        <v>16175.352999999999</v>
      </c>
      <c r="BM4" s="29">
        <v>129548.87</v>
      </c>
      <c r="BN4" s="29">
        <v>89465.29</v>
      </c>
      <c r="BO4" s="29">
        <v>23201.743999999999</v>
      </c>
      <c r="BP4" s="29">
        <v>315857.31299999997</v>
      </c>
      <c r="BQ4" s="29">
        <v>36728.307000000001</v>
      </c>
      <c r="BR4" s="29">
        <v>25138.488000000001</v>
      </c>
      <c r="BS4" s="29">
        <v>20677.826000000001</v>
      </c>
      <c r="BT4" s="29">
        <v>-4338.29</v>
      </c>
      <c r="BU4" s="29">
        <v>-14007.873</v>
      </c>
      <c r="BV4" s="17">
        <v>0</v>
      </c>
      <c r="BW4" s="41">
        <v>26007.269</v>
      </c>
      <c r="BX4" s="41">
        <v>374702.86499999999</v>
      </c>
      <c r="BY4" s="47">
        <v>0</v>
      </c>
      <c r="BZ4" s="47">
        <v>0</v>
      </c>
      <c r="CA4" s="41">
        <v>0</v>
      </c>
      <c r="CB4" s="41">
        <v>0</v>
      </c>
      <c r="CC4" s="41">
        <v>0</v>
      </c>
      <c r="CD4" s="41">
        <v>0</v>
      </c>
      <c r="CE4" s="41">
        <v>0</v>
      </c>
      <c r="CF4" s="41">
        <v>0</v>
      </c>
      <c r="CG4" s="41">
        <v>0</v>
      </c>
      <c r="CH4" s="41">
        <v>0</v>
      </c>
      <c r="CI4" s="41">
        <v>0</v>
      </c>
      <c r="CJ4" s="41">
        <v>0</v>
      </c>
      <c r="CK4" s="41">
        <v>0</v>
      </c>
      <c r="CL4" s="41">
        <v>0</v>
      </c>
      <c r="CM4" s="41">
        <v>0</v>
      </c>
      <c r="CN4" s="41">
        <v>0</v>
      </c>
      <c r="CO4" s="41">
        <v>0</v>
      </c>
      <c r="CP4" s="41">
        <v>0</v>
      </c>
      <c r="CQ4" s="41">
        <v>0</v>
      </c>
      <c r="CR4" s="41">
        <v>0</v>
      </c>
      <c r="CS4" s="41">
        <v>0</v>
      </c>
      <c r="CT4" s="41">
        <v>0</v>
      </c>
      <c r="CU4" s="41">
        <v>0</v>
      </c>
      <c r="CV4" s="41">
        <v>0</v>
      </c>
      <c r="CW4" s="41">
        <v>0</v>
      </c>
      <c r="CX4" s="41">
        <v>0</v>
      </c>
      <c r="CY4" s="41">
        <v>0</v>
      </c>
      <c r="CZ4" s="41">
        <v>0</v>
      </c>
      <c r="DA4" s="41">
        <v>0</v>
      </c>
      <c r="DB4" s="41">
        <v>0</v>
      </c>
      <c r="DC4" s="41">
        <v>0</v>
      </c>
      <c r="DD4" s="41">
        <v>0</v>
      </c>
      <c r="DE4" s="54">
        <v>0</v>
      </c>
      <c r="DF4" s="41">
        <v>0</v>
      </c>
      <c r="DG4" s="41">
        <v>0</v>
      </c>
      <c r="DH4" s="41">
        <v>0</v>
      </c>
      <c r="DI4" s="41">
        <v>0</v>
      </c>
      <c r="DJ4" s="41">
        <v>0</v>
      </c>
      <c r="DK4" s="47">
        <v>0</v>
      </c>
      <c r="DL4" s="47">
        <v>0</v>
      </c>
      <c r="DM4" s="41">
        <v>0</v>
      </c>
      <c r="DN4" s="41">
        <v>0</v>
      </c>
      <c r="DO4" s="41">
        <v>0</v>
      </c>
      <c r="DP4" s="41">
        <v>0</v>
      </c>
      <c r="DQ4" s="41">
        <v>0</v>
      </c>
      <c r="DR4" s="47">
        <v>0</v>
      </c>
      <c r="DS4" s="41">
        <v>0</v>
      </c>
      <c r="DT4" s="41">
        <v>0</v>
      </c>
      <c r="DU4" s="41">
        <v>0</v>
      </c>
      <c r="DV4" s="41">
        <v>0</v>
      </c>
      <c r="DW4" s="41">
        <v>0</v>
      </c>
    </row>
    <row r="5" spans="1:130" ht="19.5" hidden="1">
      <c r="A5" s="69" t="s">
        <v>18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55141.326999999997</v>
      </c>
      <c r="AE5" s="29">
        <v>97919.14299600001</v>
      </c>
      <c r="AF5" s="29">
        <v>20278.416000000001</v>
      </c>
      <c r="AG5" s="29">
        <v>29978.456689999999</v>
      </c>
      <c r="AH5" s="29">
        <v>199078.9184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34">
        <v>0</v>
      </c>
      <c r="BD5" s="29">
        <v>0</v>
      </c>
      <c r="BE5" s="29">
        <v>0</v>
      </c>
      <c r="BF5" s="30">
        <v>0</v>
      </c>
      <c r="BG5" s="29">
        <v>0</v>
      </c>
      <c r="BH5" s="34">
        <v>0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17">
        <v>0</v>
      </c>
      <c r="BW5" s="41">
        <v>0</v>
      </c>
      <c r="BX5" s="41">
        <v>0</v>
      </c>
      <c r="BY5" s="47">
        <v>0</v>
      </c>
      <c r="BZ5" s="47">
        <v>0</v>
      </c>
      <c r="CA5" s="41">
        <v>0</v>
      </c>
      <c r="CB5" s="41">
        <v>0</v>
      </c>
      <c r="CC5" s="41">
        <v>0</v>
      </c>
      <c r="CD5" s="41">
        <v>0</v>
      </c>
      <c r="CE5" s="41">
        <v>0</v>
      </c>
      <c r="CF5" s="41">
        <v>0</v>
      </c>
      <c r="CG5" s="41">
        <v>0</v>
      </c>
      <c r="CH5" s="41">
        <v>0</v>
      </c>
      <c r="CI5" s="41">
        <v>0</v>
      </c>
      <c r="CJ5" s="41">
        <v>0</v>
      </c>
      <c r="CK5" s="41">
        <v>0</v>
      </c>
      <c r="CL5" s="41">
        <v>0</v>
      </c>
      <c r="CM5" s="41">
        <v>0</v>
      </c>
      <c r="CN5" s="41">
        <v>0</v>
      </c>
      <c r="CO5" s="41">
        <v>0</v>
      </c>
      <c r="CP5" s="41">
        <v>0</v>
      </c>
      <c r="CQ5" s="41">
        <v>0</v>
      </c>
      <c r="CR5" s="41">
        <v>0</v>
      </c>
      <c r="CS5" s="41">
        <v>0</v>
      </c>
      <c r="CT5" s="41">
        <v>0</v>
      </c>
      <c r="CU5" s="41">
        <v>0</v>
      </c>
      <c r="CV5" s="41">
        <v>0</v>
      </c>
      <c r="CW5" s="41">
        <v>0</v>
      </c>
      <c r="CX5" s="41">
        <v>0</v>
      </c>
      <c r="CY5" s="41">
        <v>0</v>
      </c>
      <c r="CZ5" s="41">
        <v>0</v>
      </c>
      <c r="DA5" s="41">
        <v>0</v>
      </c>
      <c r="DB5" s="41">
        <v>0</v>
      </c>
      <c r="DC5" s="41">
        <v>0</v>
      </c>
      <c r="DD5" s="41">
        <v>0</v>
      </c>
      <c r="DE5" s="54">
        <v>0</v>
      </c>
      <c r="DF5" s="41">
        <v>0</v>
      </c>
      <c r="DG5" s="41">
        <v>0</v>
      </c>
      <c r="DH5" s="41">
        <v>0</v>
      </c>
      <c r="DI5" s="41">
        <v>0</v>
      </c>
      <c r="DJ5" s="41">
        <v>0</v>
      </c>
      <c r="DK5" s="47">
        <v>0</v>
      </c>
      <c r="DL5" s="47">
        <v>0</v>
      </c>
      <c r="DM5" s="41">
        <v>0</v>
      </c>
      <c r="DN5" s="41">
        <v>0</v>
      </c>
      <c r="DO5" s="41">
        <v>0</v>
      </c>
      <c r="DP5" s="41">
        <v>0</v>
      </c>
      <c r="DQ5" s="41">
        <v>0</v>
      </c>
      <c r="DR5" s="47">
        <v>0</v>
      </c>
      <c r="DS5" s="41">
        <v>0</v>
      </c>
      <c r="DT5" s="41">
        <v>0</v>
      </c>
      <c r="DU5" s="41">
        <v>0</v>
      </c>
      <c r="DV5" s="41">
        <v>0</v>
      </c>
      <c r="DW5" s="41">
        <v>0</v>
      </c>
      <c r="DX5" s="41"/>
    </row>
    <row r="6" spans="1:130" ht="19.5">
      <c r="A6" s="69" t="s">
        <v>68</v>
      </c>
      <c r="B6" s="29">
        <v>231.11616000000001</v>
      </c>
      <c r="C6" s="29">
        <v>152.83785</v>
      </c>
      <c r="D6" s="29">
        <v>152.06057999999999</v>
      </c>
      <c r="E6" s="29">
        <v>95.096429999999998</v>
      </c>
      <c r="F6" s="29">
        <v>20.450879999999998</v>
      </c>
      <c r="G6" s="29">
        <v>12.888030000000001</v>
      </c>
      <c r="H6" s="29">
        <v>7.9063600000000003</v>
      </c>
      <c r="I6" s="29">
        <v>11.245280000000001</v>
      </c>
      <c r="J6" s="29">
        <v>31.551020000000001</v>
      </c>
      <c r="K6" s="29">
        <v>116.45781000000001</v>
      </c>
      <c r="L6" s="29">
        <v>150.56124000000003</v>
      </c>
      <c r="M6" s="29">
        <v>160.56792000000002</v>
      </c>
      <c r="N6" s="29">
        <v>185.87327999999999</v>
      </c>
      <c r="O6" s="29">
        <v>160.63336999999999</v>
      </c>
      <c r="P6" s="29">
        <v>136.57979999999998</v>
      </c>
      <c r="Q6" s="29">
        <v>110.26</v>
      </c>
      <c r="R6" s="29">
        <v>51.378999999999998</v>
      </c>
      <c r="S6" s="29">
        <v>17.923999999999999</v>
      </c>
      <c r="T6" s="29">
        <v>12.946</v>
      </c>
      <c r="U6" s="29">
        <v>12.742539999999998</v>
      </c>
      <c r="V6" s="29">
        <v>35.872999999999998</v>
      </c>
      <c r="W6" s="29">
        <v>102.70655000000002</v>
      </c>
      <c r="X6" s="29">
        <v>129.97068999999996</v>
      </c>
      <c r="Y6" s="29">
        <v>161.60708</v>
      </c>
      <c r="Z6" s="29">
        <v>180.40931999999998</v>
      </c>
      <c r="AA6" s="29">
        <v>187.40163999999999</v>
      </c>
      <c r="AB6" s="29">
        <v>174.82499999999999</v>
      </c>
      <c r="AC6" s="29">
        <v>89.512</v>
      </c>
      <c r="AD6" s="29">
        <v>14.682</v>
      </c>
      <c r="AE6" s="29">
        <v>9.0150000000000006</v>
      </c>
      <c r="AF6" s="29">
        <v>8.92</v>
      </c>
      <c r="AG6" s="29">
        <v>7.6020000000000003</v>
      </c>
      <c r="AH6" s="29">
        <v>26.727</v>
      </c>
      <c r="AI6" s="29">
        <v>88.07</v>
      </c>
      <c r="AJ6" s="29">
        <v>123.40300000000001</v>
      </c>
      <c r="AK6" s="29">
        <v>176.29300000000001</v>
      </c>
      <c r="AL6" s="29">
        <v>203.17099999999999</v>
      </c>
      <c r="AM6" s="29">
        <v>145.601</v>
      </c>
      <c r="AN6" s="29">
        <v>139.732</v>
      </c>
      <c r="AO6" s="29">
        <v>76.930000000000007</v>
      </c>
      <c r="AP6" s="29">
        <v>38.29</v>
      </c>
      <c r="AQ6" s="29">
        <v>7.5490000000000004</v>
      </c>
      <c r="AR6" s="29">
        <v>11.141999999999999</v>
      </c>
      <c r="AS6" s="29">
        <v>9.6470000000000002</v>
      </c>
      <c r="AT6" s="29">
        <v>42.075000000000003</v>
      </c>
      <c r="AU6" s="29">
        <v>98.89</v>
      </c>
      <c r="AV6" s="29">
        <v>133.404</v>
      </c>
      <c r="AW6" s="29">
        <v>154.744</v>
      </c>
      <c r="AX6" s="29">
        <v>147.01300000000001</v>
      </c>
      <c r="AY6" s="29">
        <v>141.83799999999999</v>
      </c>
      <c r="AZ6" s="29">
        <v>135.761</v>
      </c>
      <c r="BA6" s="29">
        <v>109.998</v>
      </c>
      <c r="BB6" s="29">
        <v>59.076999999999998</v>
      </c>
      <c r="BC6" s="34">
        <v>12.167999999999999</v>
      </c>
      <c r="BD6" s="29">
        <v>10.18</v>
      </c>
      <c r="BE6" s="29">
        <v>11.662000000000001</v>
      </c>
      <c r="BF6" s="30">
        <v>36.781999999999996</v>
      </c>
      <c r="BG6" s="29">
        <v>83.974000000000004</v>
      </c>
      <c r="BH6" s="34">
        <v>127.378</v>
      </c>
      <c r="BI6" s="29">
        <v>171.09899999999999</v>
      </c>
      <c r="BJ6" s="29">
        <v>197.05</v>
      </c>
      <c r="BK6" s="29">
        <v>197.12299999999999</v>
      </c>
      <c r="BL6" s="29">
        <v>162.56200000000001</v>
      </c>
      <c r="BM6" s="29">
        <v>104.093</v>
      </c>
      <c r="BN6" s="29">
        <v>55.325000000000003</v>
      </c>
      <c r="BO6" s="29">
        <v>10.38</v>
      </c>
      <c r="BP6" s="29">
        <v>7.84</v>
      </c>
      <c r="BQ6" s="29">
        <v>15.255000000000001</v>
      </c>
      <c r="BR6" s="29">
        <v>60.304000000000002</v>
      </c>
      <c r="BS6" s="29">
        <v>96.418999999999997</v>
      </c>
      <c r="BT6" s="29">
        <v>123.64700000000001</v>
      </c>
      <c r="BU6" s="29">
        <v>205.376</v>
      </c>
      <c r="BV6" s="17">
        <v>188.244</v>
      </c>
      <c r="BW6" s="41">
        <v>157.86799999999999</v>
      </c>
      <c r="BX6" s="41">
        <v>139.13499999999999</v>
      </c>
      <c r="BY6" s="47">
        <v>104.254</v>
      </c>
      <c r="BZ6" s="47">
        <v>52.28</v>
      </c>
      <c r="CA6" s="41">
        <v>14.618</v>
      </c>
      <c r="CB6" s="41">
        <v>8.01</v>
      </c>
      <c r="CC6" s="41">
        <v>7.5289999999999999</v>
      </c>
      <c r="CD6" s="41">
        <v>39.500999999999998</v>
      </c>
      <c r="CE6" s="41">
        <v>75.213999999999999</v>
      </c>
      <c r="CF6" s="41">
        <v>115.991</v>
      </c>
      <c r="CG6" s="41">
        <v>167.91</v>
      </c>
      <c r="CH6" s="41">
        <v>160.63</v>
      </c>
      <c r="CI6" s="41">
        <v>139.02600000000001</v>
      </c>
      <c r="CJ6" s="41">
        <v>132.87200000000001</v>
      </c>
      <c r="CK6" s="41">
        <v>74.942999999999998</v>
      </c>
      <c r="CL6" s="41">
        <v>30.106999999999999</v>
      </c>
      <c r="CM6" s="41">
        <v>9.5340000000000007</v>
      </c>
      <c r="CN6" s="41">
        <v>6.7089999999999996</v>
      </c>
      <c r="CO6" s="41">
        <v>5.53</v>
      </c>
      <c r="CP6" s="41">
        <v>8.8859999999999992</v>
      </c>
      <c r="CQ6" s="41">
        <v>68.585999999999999</v>
      </c>
      <c r="CR6" s="41">
        <v>112.896</v>
      </c>
      <c r="CS6" s="41">
        <v>160.26900000000001</v>
      </c>
      <c r="CT6" s="41">
        <v>192.71600000000001</v>
      </c>
      <c r="CU6" s="41">
        <v>129.74600000000001</v>
      </c>
      <c r="CV6" s="41">
        <v>101.521</v>
      </c>
      <c r="CW6" s="41">
        <v>71.908000000000001</v>
      </c>
      <c r="CX6" s="41">
        <v>27.02</v>
      </c>
      <c r="CY6" s="41">
        <v>4.8019999999999996</v>
      </c>
      <c r="CZ6" s="41">
        <v>4.46</v>
      </c>
      <c r="DA6" s="41">
        <v>4.6360000000000001</v>
      </c>
      <c r="DB6" s="41">
        <v>7.4219999999999997</v>
      </c>
      <c r="DC6" s="41">
        <v>60.033999999999999</v>
      </c>
      <c r="DD6" s="41">
        <v>89.617000000000004</v>
      </c>
      <c r="DE6" s="41">
        <v>130.596</v>
      </c>
      <c r="DF6" s="41">
        <v>127.51900000000001</v>
      </c>
      <c r="DG6" s="41">
        <v>132.369</v>
      </c>
      <c r="DH6" s="41">
        <v>101.962</v>
      </c>
      <c r="DI6" s="41">
        <v>64.682000000000002</v>
      </c>
      <c r="DJ6" s="41">
        <v>49.012</v>
      </c>
      <c r="DK6" s="47">
        <v>10.115</v>
      </c>
      <c r="DL6" s="41">
        <v>5.1849999999999996</v>
      </c>
      <c r="DM6" s="41">
        <v>6.5549999999999997</v>
      </c>
      <c r="DN6" s="41">
        <v>13.387</v>
      </c>
      <c r="DO6" s="41">
        <v>82.346000000000004</v>
      </c>
      <c r="DP6" s="41">
        <v>97.605000000000004</v>
      </c>
      <c r="DQ6" s="41">
        <v>121.65900000000001</v>
      </c>
      <c r="DR6" s="47">
        <v>193.25700000000001</v>
      </c>
      <c r="DS6" s="41">
        <v>174.709</v>
      </c>
      <c r="DT6" s="41">
        <v>85.122</v>
      </c>
      <c r="DU6" s="41">
        <v>67.096999999999994</v>
      </c>
      <c r="DV6" s="41">
        <v>30.742999999999999</v>
      </c>
      <c r="DW6" s="41">
        <v>8.4890000000000008</v>
      </c>
      <c r="DX6" s="41">
        <v>4.9569999999999999</v>
      </c>
      <c r="DY6" s="41">
        <v>6.6950000000000003</v>
      </c>
      <c r="DZ6" s="41">
        <v>17.027000000000001</v>
      </c>
    </row>
    <row r="7" spans="1:130" ht="19.5">
      <c r="A7" s="69" t="s">
        <v>69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34"/>
      <c r="BD7" s="29"/>
      <c r="BE7" s="29"/>
      <c r="BF7" s="30"/>
      <c r="BG7" s="29">
        <v>0</v>
      </c>
      <c r="BH7" s="34">
        <v>0</v>
      </c>
      <c r="BI7" s="29">
        <v>0</v>
      </c>
      <c r="BJ7" s="29">
        <v>0</v>
      </c>
      <c r="BK7" s="29">
        <v>0</v>
      </c>
      <c r="BL7" s="29">
        <v>6505.3249999999998</v>
      </c>
      <c r="BM7" s="29">
        <v>5989.49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  <c r="BU7" s="29">
        <v>55531.478000000003</v>
      </c>
      <c r="BV7" s="17">
        <v>0</v>
      </c>
      <c r="BW7" s="41">
        <v>33894.794999999998</v>
      </c>
      <c r="BX7" s="41">
        <v>346776.299</v>
      </c>
      <c r="BY7" s="47">
        <v>0</v>
      </c>
      <c r="BZ7" s="47">
        <v>219626.85699999999</v>
      </c>
      <c r="CA7" s="41">
        <v>0</v>
      </c>
      <c r="CB7" s="41">
        <v>0</v>
      </c>
      <c r="CC7" s="41">
        <v>0</v>
      </c>
      <c r="CD7" s="41">
        <v>0</v>
      </c>
      <c r="CE7" s="41">
        <v>0</v>
      </c>
      <c r="CF7" s="41">
        <v>0</v>
      </c>
      <c r="CG7" s="41">
        <v>0</v>
      </c>
      <c r="CH7" s="41">
        <v>0</v>
      </c>
      <c r="CI7" s="41">
        <v>0</v>
      </c>
      <c r="CJ7" s="41">
        <v>55037.296999999999</v>
      </c>
      <c r="CK7" s="41">
        <v>827554.90500000003</v>
      </c>
      <c r="CL7" s="41">
        <v>941696.93700000003</v>
      </c>
      <c r="CM7" s="41">
        <v>903614.83799999999</v>
      </c>
      <c r="CN7" s="41">
        <v>101708.27</v>
      </c>
      <c r="CO7" s="41">
        <v>993957.78099999996</v>
      </c>
      <c r="CP7" s="41">
        <v>990033.26500000001</v>
      </c>
      <c r="CQ7" s="41">
        <v>266510.60700000002</v>
      </c>
      <c r="CR7" s="41">
        <v>0</v>
      </c>
      <c r="CS7" s="41">
        <v>0</v>
      </c>
      <c r="CT7" s="41">
        <v>0</v>
      </c>
      <c r="CU7" s="41">
        <v>0</v>
      </c>
      <c r="CV7" s="41">
        <v>0</v>
      </c>
      <c r="CW7" s="41">
        <v>598072.89300000004</v>
      </c>
      <c r="CX7" s="41">
        <v>1902546.713</v>
      </c>
      <c r="CY7" s="41">
        <v>1632369.3970000001</v>
      </c>
      <c r="CZ7" s="41">
        <v>156669.93400000001</v>
      </c>
      <c r="DA7" s="41">
        <v>1558477.5819999999</v>
      </c>
      <c r="DB7" s="41">
        <v>564898.56499999994</v>
      </c>
      <c r="DC7" s="41">
        <v>271572.038</v>
      </c>
      <c r="DD7" s="41">
        <v>75421.41</v>
      </c>
      <c r="DE7" s="41">
        <v>33406.627999999997</v>
      </c>
      <c r="DF7" s="41">
        <v>0</v>
      </c>
      <c r="DG7" s="41">
        <v>36805.955999999998</v>
      </c>
      <c r="DH7" s="41">
        <v>0</v>
      </c>
      <c r="DI7" s="41">
        <v>148954.94099999999</v>
      </c>
      <c r="DJ7" s="41">
        <v>890498.49899999995</v>
      </c>
      <c r="DK7" s="47">
        <v>42820.98</v>
      </c>
      <c r="DL7" s="41">
        <v>1550204.05</v>
      </c>
      <c r="DM7" s="41">
        <v>7729.0789999999997</v>
      </c>
      <c r="DN7" s="41">
        <v>0</v>
      </c>
      <c r="DO7" s="41">
        <v>591537.32900000003</v>
      </c>
      <c r="DP7" s="41">
        <v>304619.951</v>
      </c>
      <c r="DQ7" s="41">
        <v>0</v>
      </c>
      <c r="DR7" s="47">
        <v>0</v>
      </c>
      <c r="DS7" s="41">
        <v>29951.7</v>
      </c>
      <c r="DT7" s="41">
        <v>280670.47200000001</v>
      </c>
      <c r="DU7" s="41">
        <v>684870.28300000005</v>
      </c>
      <c r="DV7" s="41">
        <v>843939.58600000001</v>
      </c>
      <c r="DW7" s="41">
        <v>151044.37400000001</v>
      </c>
      <c r="DX7" s="41">
        <v>114637.48299999999</v>
      </c>
      <c r="DY7" s="41">
        <v>280242.17599999998</v>
      </c>
      <c r="DZ7" s="41">
        <v>0</v>
      </c>
    </row>
    <row r="8" spans="1:130" s="66" customFormat="1" ht="17">
      <c r="A8" s="58" t="s">
        <v>70</v>
      </c>
      <c r="B8" s="67">
        <f t="shared" ref="B8:AW8" si="4">B9+B23</f>
        <v>1292668.7980800001</v>
      </c>
      <c r="C8" s="67">
        <f t="shared" si="4"/>
        <v>1448544.2235000001</v>
      </c>
      <c r="D8" s="67">
        <f t="shared" si="4"/>
        <v>1508095.1678200001</v>
      </c>
      <c r="E8" s="67">
        <f t="shared" si="4"/>
        <v>1033024.79007</v>
      </c>
      <c r="F8" s="67">
        <f t="shared" si="4"/>
        <v>663196.58000000007</v>
      </c>
      <c r="G8" s="67">
        <f t="shared" si="4"/>
        <v>2440193.9406300001</v>
      </c>
      <c r="H8" s="67">
        <f t="shared" si="4"/>
        <v>4142387.1645800001</v>
      </c>
      <c r="I8" s="67">
        <f t="shared" si="4"/>
        <v>4768312.6856999993</v>
      </c>
      <c r="J8" s="67">
        <f t="shared" si="4"/>
        <v>4749202.4874200001</v>
      </c>
      <c r="K8" s="67">
        <f t="shared" si="4"/>
        <v>1114538.1903300001</v>
      </c>
      <c r="L8" s="67">
        <f t="shared" si="4"/>
        <v>625696.93897999998</v>
      </c>
      <c r="M8" s="67">
        <f t="shared" si="4"/>
        <v>649718.76066000003</v>
      </c>
      <c r="N8" s="67">
        <f t="shared" si="4"/>
        <v>747311.93767999997</v>
      </c>
      <c r="O8" s="67">
        <f t="shared" si="4"/>
        <v>690823.16697999998</v>
      </c>
      <c r="P8" s="67">
        <f t="shared" si="4"/>
        <v>608286.07417000004</v>
      </c>
      <c r="Q8" s="67">
        <f t="shared" si="4"/>
        <v>457469.42849999998</v>
      </c>
      <c r="R8" s="67">
        <f t="shared" si="4"/>
        <v>893805.39078999986</v>
      </c>
      <c r="S8" s="67">
        <f t="shared" si="4"/>
        <v>742088.14049999998</v>
      </c>
      <c r="T8" s="67">
        <f t="shared" si="4"/>
        <v>1230507.29214</v>
      </c>
      <c r="U8" s="67">
        <f t="shared" si="4"/>
        <v>2498779.6619499996</v>
      </c>
      <c r="V8" s="67">
        <f t="shared" si="4"/>
        <v>4738844.8280800004</v>
      </c>
      <c r="W8" s="67">
        <f t="shared" si="4"/>
        <v>4098301.1751899999</v>
      </c>
      <c r="X8" s="67">
        <f t="shared" si="4"/>
        <v>741818.83809000009</v>
      </c>
      <c r="Y8" s="67">
        <f t="shared" si="4"/>
        <v>753435.55888000014</v>
      </c>
      <c r="Z8" s="67">
        <f t="shared" si="4"/>
        <v>918052.18151999998</v>
      </c>
      <c r="AA8" s="67">
        <f t="shared" si="4"/>
        <v>847381.2768799999</v>
      </c>
      <c r="AB8" s="67">
        <f t="shared" si="4"/>
        <v>1172223.6844000001</v>
      </c>
      <c r="AC8" s="67">
        <f t="shared" si="4"/>
        <v>401371.05084999988</v>
      </c>
      <c r="AD8" s="67">
        <f t="shared" si="4"/>
        <v>274056.93215999997</v>
      </c>
      <c r="AE8" s="67">
        <f t="shared" si="4"/>
        <v>677951.0300400001</v>
      </c>
      <c r="AF8" s="67">
        <f t="shared" si="4"/>
        <v>3132110.81176</v>
      </c>
      <c r="AG8" s="67">
        <f t="shared" si="4"/>
        <v>3988248.7350799995</v>
      </c>
      <c r="AH8" s="67">
        <f t="shared" si="4"/>
        <v>4403198.5448900005</v>
      </c>
      <c r="AI8" s="67">
        <f t="shared" si="4"/>
        <v>2378217.20946</v>
      </c>
      <c r="AJ8" s="67">
        <f t="shared" si="4"/>
        <v>1093078.8106799999</v>
      </c>
      <c r="AK8" s="67">
        <f t="shared" si="4"/>
        <v>1085022.9575799999</v>
      </c>
      <c r="AL8" s="67">
        <f t="shared" si="4"/>
        <v>998674.26665999985</v>
      </c>
      <c r="AM8" s="67">
        <f t="shared" si="4"/>
        <v>1370673.29486</v>
      </c>
      <c r="AN8" s="67">
        <f t="shared" si="4"/>
        <v>773900.26283999998</v>
      </c>
      <c r="AO8" s="67">
        <f t="shared" si="4"/>
        <v>355289.15737000003</v>
      </c>
      <c r="AP8" s="67">
        <f t="shared" si="4"/>
        <v>3004353.9506999999</v>
      </c>
      <c r="AQ8" s="67">
        <f t="shared" si="4"/>
        <v>3014795.5694799996</v>
      </c>
      <c r="AR8" s="67">
        <f t="shared" si="4"/>
        <v>4305679.8033440001</v>
      </c>
      <c r="AS8" s="67">
        <f t="shared" si="4"/>
        <v>3511644.9840299999</v>
      </c>
      <c r="AT8" s="67">
        <f t="shared" si="4"/>
        <v>3416382.8012000001</v>
      </c>
      <c r="AU8" s="67">
        <f t="shared" si="4"/>
        <v>1613043.5450199998</v>
      </c>
      <c r="AV8" s="67">
        <f t="shared" si="4"/>
        <v>754728.09784000006</v>
      </c>
      <c r="AW8" s="67">
        <f t="shared" si="4"/>
        <v>834246.98291000002</v>
      </c>
      <c r="AX8" s="67">
        <f>AX9+AX10</f>
        <v>1449890.5353600001</v>
      </c>
      <c r="AY8" s="67">
        <f t="shared" ref="AY8:DI8" si="5">AY9+AY10</f>
        <v>1366137.7348000002</v>
      </c>
      <c r="AZ8" s="67">
        <f t="shared" si="5"/>
        <v>1453026.38469</v>
      </c>
      <c r="BA8" s="67">
        <f t="shared" si="5"/>
        <v>1272534.3855400002</v>
      </c>
      <c r="BB8" s="67">
        <f t="shared" si="5"/>
        <v>573270.15776999993</v>
      </c>
      <c r="BC8" s="67">
        <f t="shared" si="5"/>
        <v>874146.53911999997</v>
      </c>
      <c r="BD8" s="67">
        <f t="shared" si="5"/>
        <v>756130.48222999997</v>
      </c>
      <c r="BE8" s="67">
        <f t="shared" si="5"/>
        <v>227654.29039999997</v>
      </c>
      <c r="BF8" s="67">
        <f t="shared" si="5"/>
        <v>914968.7893399999</v>
      </c>
      <c r="BG8" s="67">
        <f t="shared" si="5"/>
        <v>1247254.6499599998</v>
      </c>
      <c r="BH8" s="67">
        <f t="shared" si="5"/>
        <v>1277509.2524999999</v>
      </c>
      <c r="BI8" s="67">
        <f t="shared" si="5"/>
        <v>1548827.4611200001</v>
      </c>
      <c r="BJ8" s="67">
        <f t="shared" si="5"/>
        <v>1643519.8558800002</v>
      </c>
      <c r="BK8" s="67">
        <f t="shared" si="5"/>
        <v>1560499.45147</v>
      </c>
      <c r="BL8" s="67">
        <f t="shared" si="5"/>
        <v>1414835.8887100001</v>
      </c>
      <c r="BM8" s="67">
        <f t="shared" si="5"/>
        <v>1278860.3204399999</v>
      </c>
      <c r="BN8" s="67">
        <f t="shared" si="5"/>
        <v>434123.65391999995</v>
      </c>
      <c r="BO8" s="67">
        <f t="shared" si="5"/>
        <v>473492.36395000003</v>
      </c>
      <c r="BP8" s="67">
        <f t="shared" si="5"/>
        <v>325970.23011</v>
      </c>
      <c r="BQ8" s="67">
        <f t="shared" si="5"/>
        <v>606554.19525999995</v>
      </c>
      <c r="BR8" s="67">
        <f t="shared" si="5"/>
        <v>626280.35865000007</v>
      </c>
      <c r="BS8" s="67">
        <f t="shared" si="5"/>
        <v>669924.95663000003</v>
      </c>
      <c r="BT8" s="67">
        <f t="shared" si="5"/>
        <v>1146756.8971099998</v>
      </c>
      <c r="BU8" s="67">
        <f t="shared" si="5"/>
        <v>1170688.7793399999</v>
      </c>
      <c r="BV8" s="67">
        <f t="shared" si="5"/>
        <v>1700099.5474599998</v>
      </c>
      <c r="BW8" s="67">
        <f t="shared" si="5"/>
        <v>1256002.50202</v>
      </c>
      <c r="BX8" s="67">
        <f t="shared" si="5"/>
        <v>749587.76492999995</v>
      </c>
      <c r="BY8" s="67">
        <f t="shared" si="5"/>
        <v>712838.87424999999</v>
      </c>
      <c r="BZ8" s="67">
        <f t="shared" si="5"/>
        <v>579445.83697000006</v>
      </c>
      <c r="CA8" s="67">
        <f t="shared" si="5"/>
        <v>957641.65744999994</v>
      </c>
      <c r="CB8" s="67">
        <f t="shared" si="5"/>
        <v>860877.81998999999</v>
      </c>
      <c r="CC8" s="67">
        <f t="shared" si="5"/>
        <v>859233.07149</v>
      </c>
      <c r="CD8" s="67">
        <f t="shared" si="5"/>
        <v>800598.71695000003</v>
      </c>
      <c r="CE8" s="67">
        <f t="shared" si="5"/>
        <v>679348.61687000003</v>
      </c>
      <c r="CF8" s="67">
        <f t="shared" si="5"/>
        <v>964585.13274000003</v>
      </c>
      <c r="CG8" s="67">
        <f t="shared" si="5"/>
        <v>1378170.02627</v>
      </c>
      <c r="CH8" s="67">
        <f t="shared" si="5"/>
        <v>1302032.2495599999</v>
      </c>
      <c r="CI8" s="67">
        <f t="shared" si="5"/>
        <v>1605935.59243</v>
      </c>
      <c r="CJ8" s="67">
        <f t="shared" si="5"/>
        <v>1431300.26688</v>
      </c>
      <c r="CK8" s="67">
        <f t="shared" si="5"/>
        <v>907538.30082999996</v>
      </c>
      <c r="CL8" s="67">
        <f t="shared" si="5"/>
        <v>970472.27880999993</v>
      </c>
      <c r="CM8" s="67">
        <f t="shared" si="5"/>
        <v>897668.48846999998</v>
      </c>
      <c r="CN8" s="67">
        <f t="shared" si="5"/>
        <v>128210.59811000001</v>
      </c>
      <c r="CO8" s="67">
        <f t="shared" si="5"/>
        <v>1008486.2323700001</v>
      </c>
      <c r="CP8" s="67">
        <f t="shared" si="5"/>
        <v>1040547.28077</v>
      </c>
      <c r="CQ8" s="67">
        <f t="shared" si="5"/>
        <v>533691.18801000004</v>
      </c>
      <c r="CR8" s="67">
        <f t="shared" si="5"/>
        <v>398855.85609999998</v>
      </c>
      <c r="CS8" s="67">
        <f t="shared" si="5"/>
        <v>547892.35871000006</v>
      </c>
      <c r="CT8" s="67">
        <f t="shared" si="5"/>
        <v>737482.90093</v>
      </c>
      <c r="CU8" s="67">
        <f t="shared" si="5"/>
        <v>473272.63688000001</v>
      </c>
      <c r="CV8" s="67">
        <f t="shared" si="5"/>
        <v>375509.90874000004</v>
      </c>
      <c r="CW8" s="67">
        <f t="shared" si="5"/>
        <v>811202.10145000007</v>
      </c>
      <c r="CX8" s="67">
        <f t="shared" si="5"/>
        <v>1889751.6653400001</v>
      </c>
      <c r="CY8" s="67">
        <f t="shared" si="5"/>
        <v>1675181.67604</v>
      </c>
      <c r="CZ8" s="67">
        <f t="shared" si="5"/>
        <v>141018.65476</v>
      </c>
      <c r="DA8" s="67">
        <f t="shared" si="5"/>
        <v>1539335.9574000002</v>
      </c>
      <c r="DB8" s="67">
        <f t="shared" si="5"/>
        <v>766678.6298</v>
      </c>
      <c r="DC8" s="67">
        <f t="shared" si="5"/>
        <v>459655.93293000001</v>
      </c>
      <c r="DD8" s="67">
        <f t="shared" si="5"/>
        <v>590048.04341000004</v>
      </c>
      <c r="DE8" s="67">
        <f t="shared" si="5"/>
        <v>1225303.9914299999</v>
      </c>
      <c r="DF8" s="67">
        <f t="shared" si="5"/>
        <v>1687200.3833899999</v>
      </c>
      <c r="DG8" s="67">
        <f t="shared" si="5"/>
        <v>1436433.1755300001</v>
      </c>
      <c r="DH8" s="67">
        <f t="shared" si="5"/>
        <v>1329113.41129</v>
      </c>
      <c r="DI8" s="67">
        <f t="shared" si="5"/>
        <v>967219.72904999985</v>
      </c>
      <c r="DJ8" s="67">
        <f t="shared" ref="DJ8:DV8" si="6">DJ9+DJ10</f>
        <v>1006705.89968</v>
      </c>
      <c r="DK8" s="67">
        <f t="shared" si="6"/>
        <v>143060.70289999997</v>
      </c>
      <c r="DL8" s="67">
        <f t="shared" si="6"/>
        <v>1543374.1961099999</v>
      </c>
      <c r="DM8" s="67">
        <f t="shared" si="6"/>
        <v>900202.47144999995</v>
      </c>
      <c r="DN8" s="67">
        <f t="shared" si="6"/>
        <v>723080.17461999995</v>
      </c>
      <c r="DO8" s="67">
        <f t="shared" si="6"/>
        <v>601675.00670000003</v>
      </c>
      <c r="DP8" s="67">
        <f t="shared" si="6"/>
        <v>951575.44955999998</v>
      </c>
      <c r="DQ8" s="67">
        <f t="shared" si="6"/>
        <v>758816.14209999994</v>
      </c>
      <c r="DR8" s="67">
        <f t="shared" si="6"/>
        <v>2690120.3295299998</v>
      </c>
      <c r="DS8" s="67">
        <f t="shared" si="6"/>
        <v>2120316.6234900001</v>
      </c>
      <c r="DT8" s="67">
        <f t="shared" si="6"/>
        <v>482228.76790000004</v>
      </c>
      <c r="DU8" s="67">
        <f t="shared" si="6"/>
        <v>1192154.8886500001</v>
      </c>
      <c r="DV8" s="67">
        <f t="shared" si="6"/>
        <v>1214096.362</v>
      </c>
      <c r="DW8" s="67">
        <f>DW9+DW10</f>
        <v>770873.20100000012</v>
      </c>
      <c r="DX8" s="67">
        <f>DX9+DX10</f>
        <v>111265.558</v>
      </c>
      <c r="DY8" s="67">
        <f>DY9+DY10</f>
        <v>756785.02600000007</v>
      </c>
      <c r="DZ8" s="67">
        <f>DZ9+DZ10</f>
        <v>549846.27</v>
      </c>
    </row>
    <row r="9" spans="1:130" s="68" customFormat="1" ht="17">
      <c r="A9" s="69" t="s">
        <v>71</v>
      </c>
      <c r="B9" s="29">
        <v>1044423.0192000001</v>
      </c>
      <c r="C9" s="29">
        <v>645003.41020000004</v>
      </c>
      <c r="D9" s="29">
        <v>630610.47664000001</v>
      </c>
      <c r="E9" s="29">
        <v>427319.53055999998</v>
      </c>
      <c r="F9" s="29">
        <v>234440.47232</v>
      </c>
      <c r="G9" s="29">
        <v>192565.61598</v>
      </c>
      <c r="H9" s="29">
        <v>179200.42931000001</v>
      </c>
      <c r="I9" s="29">
        <v>181886.80233999999</v>
      </c>
      <c r="J9" s="29">
        <v>209137.78582999998</v>
      </c>
      <c r="K9" s="29">
        <v>481991.17197000002</v>
      </c>
      <c r="L9" s="29">
        <v>620401.13511999999</v>
      </c>
      <c r="M9" s="29">
        <v>649718.76066000003</v>
      </c>
      <c r="N9" s="29">
        <v>747311.93767999997</v>
      </c>
      <c r="O9" s="29">
        <v>681210.22539000004</v>
      </c>
      <c r="P9" s="29">
        <v>608286.07417000004</v>
      </c>
      <c r="Q9" s="29">
        <v>457469.42849999998</v>
      </c>
      <c r="R9" s="29">
        <v>299221.61686999997</v>
      </c>
      <c r="S9" s="29">
        <v>186222.87599999999</v>
      </c>
      <c r="T9" s="29">
        <v>195177.87656999999</v>
      </c>
      <c r="U9" s="29">
        <v>204212.53104999999</v>
      </c>
      <c r="V9" s="29">
        <v>250200.33631000001</v>
      </c>
      <c r="W9" s="29">
        <v>447212.51228999998</v>
      </c>
      <c r="X9" s="29">
        <v>531431.37051000004</v>
      </c>
      <c r="Y9" s="29">
        <v>611013.81560000009</v>
      </c>
      <c r="Z9" s="29">
        <v>707661.29784000001</v>
      </c>
      <c r="AA9" s="29">
        <v>784741.25940999994</v>
      </c>
      <c r="AB9" s="29">
        <v>764138.75144000014</v>
      </c>
      <c r="AC9" s="29">
        <v>395545.37439999991</v>
      </c>
      <c r="AD9" s="29">
        <v>219652.92287999997</v>
      </c>
      <c r="AE9" s="29">
        <v>188615.08609999999</v>
      </c>
      <c r="AF9" s="29">
        <v>188643.76215999998</v>
      </c>
      <c r="AG9" s="29">
        <v>188111.95804</v>
      </c>
      <c r="AH9" s="29">
        <v>212120.17467000001</v>
      </c>
      <c r="AI9" s="29">
        <v>390450.49232000002</v>
      </c>
      <c r="AJ9" s="29">
        <v>496637.96711999999</v>
      </c>
      <c r="AK9" s="29">
        <v>680084.1304299999</v>
      </c>
      <c r="AL9" s="29">
        <v>787413.81047999987</v>
      </c>
      <c r="AM9" s="29">
        <v>567216.82339999999</v>
      </c>
      <c r="AN9" s="29">
        <v>562412.09171999991</v>
      </c>
      <c r="AO9" s="29">
        <v>354843.70522</v>
      </c>
      <c r="AP9" s="29">
        <v>274263.86936000001</v>
      </c>
      <c r="AQ9" s="29">
        <v>173461.96872999999</v>
      </c>
      <c r="AR9" s="29">
        <v>190935.64518400002</v>
      </c>
      <c r="AS9" s="29">
        <v>204047.86751000001</v>
      </c>
      <c r="AT9" s="29">
        <v>242911.46969999999</v>
      </c>
      <c r="AU9" s="29">
        <v>369697.61267999996</v>
      </c>
      <c r="AV9" s="29">
        <v>477262.66628000006</v>
      </c>
      <c r="AW9" s="29">
        <v>568754.57564000005</v>
      </c>
      <c r="AX9" s="29">
        <v>565372.98436000012</v>
      </c>
      <c r="AY9" s="29">
        <v>537436.64080000005</v>
      </c>
      <c r="AZ9" s="29">
        <v>527910.28368999995</v>
      </c>
      <c r="BA9" s="29">
        <v>398627.19354000007</v>
      </c>
      <c r="BB9" s="29">
        <v>280344.24777000002</v>
      </c>
      <c r="BC9" s="36">
        <v>186908.83912000002</v>
      </c>
      <c r="BD9" s="29">
        <v>183337.94822999998</v>
      </c>
      <c r="BE9" s="29">
        <v>194924.85339999996</v>
      </c>
      <c r="BF9" s="30">
        <v>239031.05734</v>
      </c>
      <c r="BG9" s="29">
        <v>316319.95995999995</v>
      </c>
      <c r="BH9" s="29">
        <v>432835.80849999998</v>
      </c>
      <c r="BI9" s="29">
        <v>617081.03312000004</v>
      </c>
      <c r="BJ9" s="29">
        <v>702299.20088000013</v>
      </c>
      <c r="BK9" s="29">
        <v>752650.41446999996</v>
      </c>
      <c r="BL9" s="29">
        <v>577972.07071000012</v>
      </c>
      <c r="BM9" s="29">
        <v>392019.06843999994</v>
      </c>
      <c r="BN9" s="29">
        <v>280483.78291999997</v>
      </c>
      <c r="BO9" s="29">
        <v>173388.66295</v>
      </c>
      <c r="BP9" s="36">
        <v>167281.65510999999</v>
      </c>
      <c r="BQ9" s="29">
        <v>210411.52226</v>
      </c>
      <c r="BR9" s="29">
        <v>272680.81065</v>
      </c>
      <c r="BS9" s="29">
        <v>324423.13663000002</v>
      </c>
      <c r="BT9" s="29">
        <v>453147.60110999993</v>
      </c>
      <c r="BU9" s="29">
        <v>767805.21933999984</v>
      </c>
      <c r="BV9" s="29">
        <v>652126.60745999985</v>
      </c>
      <c r="BW9" s="41">
        <v>519448.56501999998</v>
      </c>
      <c r="BX9" s="41">
        <v>491915.53892999998</v>
      </c>
      <c r="BY9" s="47">
        <v>332343.20624999999</v>
      </c>
      <c r="BZ9" s="47">
        <v>221088.60397</v>
      </c>
      <c r="CA9" s="41">
        <v>150309.20444999993</v>
      </c>
      <c r="CB9" s="41">
        <v>133336.09899</v>
      </c>
      <c r="CC9" s="41">
        <v>138284.78949</v>
      </c>
      <c r="CD9" s="41">
        <v>161208.18595000001</v>
      </c>
      <c r="CE9" s="41">
        <v>201516.27286999999</v>
      </c>
      <c r="CF9" s="41">
        <v>320182.87474</v>
      </c>
      <c r="CG9" s="41">
        <v>455009.38426999998</v>
      </c>
      <c r="CH9" s="41">
        <v>421698.47655999998</v>
      </c>
      <c r="CI9" s="41">
        <v>370426.97342999995</v>
      </c>
      <c r="CJ9" s="41">
        <v>410481.01188000006</v>
      </c>
      <c r="CK9" s="41">
        <v>255260.32683000003</v>
      </c>
      <c r="CL9" s="41">
        <v>182674.06380999999</v>
      </c>
      <c r="CM9" s="41">
        <v>132194.97447000002</v>
      </c>
      <c r="CN9" s="41">
        <v>128210.59811000001</v>
      </c>
      <c r="CO9" s="41">
        <v>138273.33437</v>
      </c>
      <c r="CP9" s="41">
        <v>131726.96877000001</v>
      </c>
      <c r="CQ9" s="41">
        <v>317591.51501000003</v>
      </c>
      <c r="CR9" s="41">
        <v>398855.85609999998</v>
      </c>
      <c r="CS9" s="41">
        <v>547892.35871000006</v>
      </c>
      <c r="CT9" s="41">
        <v>737482.90093</v>
      </c>
      <c r="CU9" s="41">
        <v>473272.63688000001</v>
      </c>
      <c r="CV9" s="41">
        <v>375509.90874000004</v>
      </c>
      <c r="CW9" s="41">
        <v>344558.48345000006</v>
      </c>
      <c r="CX9" s="41">
        <v>170701.62534</v>
      </c>
      <c r="CY9" s="41">
        <v>127559.58104</v>
      </c>
      <c r="CZ9" s="41">
        <v>122897.73475999999</v>
      </c>
      <c r="DA9" s="41">
        <v>127773.6884</v>
      </c>
      <c r="DB9" s="41">
        <v>132709.10579999999</v>
      </c>
      <c r="DC9" s="41">
        <v>254336.23292999997</v>
      </c>
      <c r="DD9" s="41">
        <v>369676.51941000001</v>
      </c>
      <c r="DE9" s="41">
        <v>484250.69043000002</v>
      </c>
      <c r="DF9" s="41">
        <v>453155.90338999993</v>
      </c>
      <c r="DG9" s="41">
        <v>476767.41952999996</v>
      </c>
      <c r="DH9" s="41">
        <v>340625.99728999997</v>
      </c>
      <c r="DI9" s="41">
        <v>256324.36104999998</v>
      </c>
      <c r="DJ9" s="41">
        <v>201082.58867999999</v>
      </c>
      <c r="DK9" s="47">
        <v>133853.20289999997</v>
      </c>
      <c r="DL9" s="41">
        <v>121689.92910999998</v>
      </c>
      <c r="DM9" s="41">
        <v>149147.05045000001</v>
      </c>
      <c r="DN9" s="41">
        <v>153068.58562000003</v>
      </c>
      <c r="DO9" s="41">
        <v>263267.44770000002</v>
      </c>
      <c r="DP9" s="41">
        <v>360784.23355999996</v>
      </c>
      <c r="DQ9" s="41">
        <v>440368.99009999994</v>
      </c>
      <c r="DR9" s="47">
        <v>753635.4355299999</v>
      </c>
      <c r="DS9" s="41">
        <v>664909.57649000001</v>
      </c>
      <c r="DT9" s="41">
        <v>343469.97290000005</v>
      </c>
      <c r="DU9" s="41">
        <v>267482.32264999999</v>
      </c>
      <c r="DV9" s="41">
        <v>158685.54999999999</v>
      </c>
      <c r="DW9" s="41">
        <v>115250.17200000001</v>
      </c>
      <c r="DX9" s="41">
        <v>110412.042</v>
      </c>
      <c r="DY9" s="41">
        <v>121072.739</v>
      </c>
      <c r="DZ9" s="41">
        <v>136340.59899999999</v>
      </c>
    </row>
    <row r="10" spans="1:130" s="68" customFormat="1" ht="17">
      <c r="A10" s="69" t="s">
        <v>72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>
        <f>SUM(AM11:AM12)</f>
        <v>0</v>
      </c>
      <c r="AN10" s="29">
        <f t="shared" ref="AN10:BD10" si="7">SUM(AN11:AN12)</f>
        <v>0</v>
      </c>
      <c r="AO10" s="29">
        <f t="shared" si="7"/>
        <v>0</v>
      </c>
      <c r="AP10" s="29">
        <f t="shared" si="7"/>
        <v>0</v>
      </c>
      <c r="AQ10" s="29">
        <f t="shared" si="7"/>
        <v>0</v>
      </c>
      <c r="AR10" s="29">
        <f t="shared" si="7"/>
        <v>0</v>
      </c>
      <c r="AS10" s="29">
        <f t="shared" si="7"/>
        <v>0</v>
      </c>
      <c r="AT10" s="29">
        <f t="shared" si="7"/>
        <v>0</v>
      </c>
      <c r="AU10" s="29">
        <f t="shared" si="7"/>
        <v>0</v>
      </c>
      <c r="AV10" s="29">
        <f t="shared" si="7"/>
        <v>0</v>
      </c>
      <c r="AW10" s="29">
        <f t="shared" si="7"/>
        <v>0</v>
      </c>
      <c r="AX10" s="29">
        <f t="shared" si="7"/>
        <v>884517.55099999998</v>
      </c>
      <c r="AY10" s="29">
        <f t="shared" si="7"/>
        <v>828701.09400000004</v>
      </c>
      <c r="AZ10" s="29">
        <f t="shared" si="7"/>
        <v>925116.10100000002</v>
      </c>
      <c r="BA10" s="29">
        <f t="shared" si="7"/>
        <v>873907.19200000004</v>
      </c>
      <c r="BB10" s="29">
        <f t="shared" si="7"/>
        <v>292925.90999999997</v>
      </c>
      <c r="BC10" s="29">
        <f t="shared" si="7"/>
        <v>687237.7</v>
      </c>
      <c r="BD10" s="29">
        <f t="shared" si="7"/>
        <v>572792.53399999999</v>
      </c>
      <c r="BE10" s="29">
        <f t="shared" ref="BE10:BJ10" si="8">SUM(BE11:BE12)</f>
        <v>32729.436999999998</v>
      </c>
      <c r="BF10" s="30">
        <f t="shared" si="8"/>
        <v>675937.73199999996</v>
      </c>
      <c r="BG10" s="30">
        <f t="shared" si="8"/>
        <v>930934.69</v>
      </c>
      <c r="BH10" s="30">
        <f t="shared" si="8"/>
        <v>844673.44400000002</v>
      </c>
      <c r="BI10" s="30">
        <f t="shared" si="8"/>
        <v>931746.42799999996</v>
      </c>
      <c r="BJ10" s="30">
        <f t="shared" si="8"/>
        <v>941220.65500000003</v>
      </c>
      <c r="BK10" s="30">
        <f t="shared" ref="BK10:DZ10" si="9">SUM(BK11:BK12)</f>
        <v>807849.03700000001</v>
      </c>
      <c r="BL10" s="30">
        <f t="shared" si="9"/>
        <v>836863.81799999997</v>
      </c>
      <c r="BM10" s="30">
        <f t="shared" si="9"/>
        <v>886841.25199999998</v>
      </c>
      <c r="BN10" s="30">
        <f t="shared" si="9"/>
        <v>153639.87100000001</v>
      </c>
      <c r="BO10" s="30">
        <f t="shared" si="9"/>
        <v>300103.701</v>
      </c>
      <c r="BP10" s="30">
        <f t="shared" si="9"/>
        <v>158688.57500000001</v>
      </c>
      <c r="BQ10" s="30">
        <f t="shared" si="9"/>
        <v>396142.67300000001</v>
      </c>
      <c r="BR10" s="30">
        <f t="shared" si="9"/>
        <v>353599.54800000001</v>
      </c>
      <c r="BS10" s="30">
        <f t="shared" si="9"/>
        <v>345501.82</v>
      </c>
      <c r="BT10" s="30">
        <f t="shared" si="9"/>
        <v>693609.29599999997</v>
      </c>
      <c r="BU10" s="30">
        <f t="shared" si="9"/>
        <v>402883.56</v>
      </c>
      <c r="BV10" s="30">
        <f t="shared" si="9"/>
        <v>1047972.94</v>
      </c>
      <c r="BW10" s="70">
        <f t="shared" si="9"/>
        <v>736553.93700000003</v>
      </c>
      <c r="BX10" s="70">
        <f t="shared" si="9"/>
        <v>257672.226</v>
      </c>
      <c r="BY10" s="70">
        <f t="shared" si="9"/>
        <v>380495.66800000001</v>
      </c>
      <c r="BZ10" s="71">
        <f t="shared" si="9"/>
        <v>358357.23300000001</v>
      </c>
      <c r="CA10" s="70">
        <f t="shared" si="9"/>
        <v>807332.45299999998</v>
      </c>
      <c r="CB10" s="70">
        <f t="shared" si="9"/>
        <v>727541.72100000002</v>
      </c>
      <c r="CC10" s="70">
        <f t="shared" si="9"/>
        <v>720948.28200000001</v>
      </c>
      <c r="CD10" s="70">
        <f t="shared" si="9"/>
        <v>639390.53099999996</v>
      </c>
      <c r="CE10" s="70">
        <f t="shared" si="9"/>
        <v>477832.34399999998</v>
      </c>
      <c r="CF10" s="70">
        <f t="shared" si="9"/>
        <v>644402.25800000003</v>
      </c>
      <c r="CG10" s="70">
        <f t="shared" si="9"/>
        <v>923160.64199999999</v>
      </c>
      <c r="CH10" s="70">
        <f t="shared" si="9"/>
        <v>880333.77300000004</v>
      </c>
      <c r="CI10" s="70">
        <f t="shared" si="9"/>
        <v>1235508.6189999999</v>
      </c>
      <c r="CJ10" s="70">
        <f t="shared" si="9"/>
        <v>1020819.255</v>
      </c>
      <c r="CK10" s="70">
        <f t="shared" si="9"/>
        <v>652277.97399999993</v>
      </c>
      <c r="CL10" s="70">
        <f t="shared" si="9"/>
        <v>787798.21499999997</v>
      </c>
      <c r="CM10" s="70">
        <f t="shared" si="9"/>
        <v>765473.51399999997</v>
      </c>
      <c r="CN10" s="70">
        <f t="shared" si="9"/>
        <v>0</v>
      </c>
      <c r="CO10" s="70">
        <f t="shared" si="9"/>
        <v>870212.89800000004</v>
      </c>
      <c r="CP10" s="70">
        <f t="shared" si="9"/>
        <v>908820.31199999992</v>
      </c>
      <c r="CQ10" s="70">
        <f t="shared" si="9"/>
        <v>216099.67300000001</v>
      </c>
      <c r="CR10" s="70">
        <f t="shared" si="9"/>
        <v>0</v>
      </c>
      <c r="CS10" s="70">
        <f t="shared" si="9"/>
        <v>0</v>
      </c>
      <c r="CT10" s="70">
        <f t="shared" si="9"/>
        <v>0</v>
      </c>
      <c r="CU10" s="70">
        <f t="shared" si="9"/>
        <v>0</v>
      </c>
      <c r="CV10" s="70">
        <f t="shared" si="9"/>
        <v>0</v>
      </c>
      <c r="CW10" s="70">
        <f t="shared" si="9"/>
        <v>466643.61800000002</v>
      </c>
      <c r="CX10" s="70">
        <f t="shared" si="9"/>
        <v>1719050.04</v>
      </c>
      <c r="CY10" s="70">
        <f t="shared" si="9"/>
        <v>1547622.095</v>
      </c>
      <c r="CZ10" s="70">
        <f t="shared" si="9"/>
        <v>18120.920000000002</v>
      </c>
      <c r="DA10" s="70">
        <f t="shared" si="9"/>
        <v>1411562.2690000001</v>
      </c>
      <c r="DB10" s="70">
        <f t="shared" si="9"/>
        <v>633969.52399999998</v>
      </c>
      <c r="DC10" s="70">
        <f t="shared" si="9"/>
        <v>205319.7</v>
      </c>
      <c r="DD10" s="70">
        <f t="shared" si="9"/>
        <v>220371.524</v>
      </c>
      <c r="DE10" s="70">
        <f t="shared" si="9"/>
        <v>741053.30099999998</v>
      </c>
      <c r="DF10" s="70">
        <f t="shared" si="9"/>
        <v>1234044.48</v>
      </c>
      <c r="DG10" s="70">
        <f t="shared" si="9"/>
        <v>959665.75600000005</v>
      </c>
      <c r="DH10" s="70">
        <f t="shared" si="9"/>
        <v>988487.41399999999</v>
      </c>
      <c r="DI10" s="70">
        <f t="shared" si="9"/>
        <v>710895.3679999999</v>
      </c>
      <c r="DJ10" s="70">
        <f t="shared" si="9"/>
        <v>805623.31099999999</v>
      </c>
      <c r="DK10" s="71">
        <f t="shared" si="9"/>
        <v>9207.5</v>
      </c>
      <c r="DL10" s="70">
        <f t="shared" si="9"/>
        <v>1421684.267</v>
      </c>
      <c r="DM10" s="70">
        <f t="shared" si="9"/>
        <v>751055.42099999997</v>
      </c>
      <c r="DN10" s="70">
        <f t="shared" si="9"/>
        <v>570011.58899999992</v>
      </c>
      <c r="DO10" s="70">
        <f t="shared" si="9"/>
        <v>338407.55900000001</v>
      </c>
      <c r="DP10" s="70">
        <f t="shared" si="9"/>
        <v>590791.21600000001</v>
      </c>
      <c r="DQ10" s="70">
        <f t="shared" si="9"/>
        <v>318447.152</v>
      </c>
      <c r="DR10" s="71">
        <f t="shared" si="9"/>
        <v>1936484.8940000001</v>
      </c>
      <c r="DS10" s="70">
        <f t="shared" si="9"/>
        <v>1455407.047</v>
      </c>
      <c r="DT10" s="70">
        <f t="shared" si="9"/>
        <v>138758.79499999998</v>
      </c>
      <c r="DU10" s="70">
        <f t="shared" si="9"/>
        <v>924672.56599999999</v>
      </c>
      <c r="DV10" s="70">
        <f>SUM(DV11:DV12)</f>
        <v>1055410.8119999999</v>
      </c>
      <c r="DW10" s="70">
        <f t="shared" si="9"/>
        <v>655623.0290000001</v>
      </c>
      <c r="DX10" s="70">
        <f t="shared" si="9"/>
        <v>853.51600000000008</v>
      </c>
      <c r="DY10" s="70">
        <f t="shared" si="9"/>
        <v>635712.28700000001</v>
      </c>
      <c r="DZ10" s="70">
        <f t="shared" si="9"/>
        <v>413505.67099999997</v>
      </c>
    </row>
    <row r="11" spans="1:130" ht="19.5">
      <c r="A11" s="72" t="s">
        <v>73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10459.388000000001</v>
      </c>
      <c r="BC11" s="29">
        <v>0</v>
      </c>
      <c r="BD11" s="29">
        <v>0</v>
      </c>
      <c r="BE11" s="29">
        <v>0</v>
      </c>
      <c r="BF11" s="30">
        <v>0</v>
      </c>
      <c r="BG11" s="29">
        <v>0</v>
      </c>
      <c r="BH11" s="35">
        <v>0</v>
      </c>
      <c r="BI11" s="29">
        <v>0</v>
      </c>
      <c r="BJ11" s="29">
        <v>0</v>
      </c>
      <c r="BK11" s="29">
        <v>0</v>
      </c>
      <c r="BL11" s="29">
        <v>3110.2919999999999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  <c r="BU11" s="29">
        <v>0</v>
      </c>
      <c r="BV11" s="29">
        <v>0</v>
      </c>
      <c r="BW11" s="41">
        <v>13303.416999999999</v>
      </c>
      <c r="BX11" s="41">
        <v>249097.85800000001</v>
      </c>
      <c r="BY11" s="47">
        <v>0</v>
      </c>
      <c r="BZ11" s="47">
        <v>62498.686000000002</v>
      </c>
      <c r="CA11" s="41">
        <v>0</v>
      </c>
      <c r="CB11" s="41">
        <v>0</v>
      </c>
      <c r="CC11" s="41">
        <v>0</v>
      </c>
      <c r="CD11" s="41">
        <v>0</v>
      </c>
      <c r="CE11" s="41">
        <v>0</v>
      </c>
      <c r="CF11" s="41">
        <v>0</v>
      </c>
      <c r="CG11" s="41">
        <v>0</v>
      </c>
      <c r="CH11" s="41">
        <v>0</v>
      </c>
      <c r="CI11" s="41">
        <v>0</v>
      </c>
      <c r="CJ11" s="41">
        <v>36705.267999999996</v>
      </c>
      <c r="CK11" s="41">
        <v>589683.51899999997</v>
      </c>
      <c r="CL11" s="41">
        <v>765570.23300000001</v>
      </c>
      <c r="CM11" s="41">
        <v>765473.51399999997</v>
      </c>
      <c r="CN11" s="41">
        <v>0</v>
      </c>
      <c r="CO11" s="41">
        <v>849829.78899999999</v>
      </c>
      <c r="CP11" s="41">
        <v>851756.53099999996</v>
      </c>
      <c r="CQ11" s="41">
        <v>216099.67300000001</v>
      </c>
      <c r="CR11" s="41">
        <v>0</v>
      </c>
      <c r="CS11" s="41">
        <v>0</v>
      </c>
      <c r="CT11" s="41">
        <v>0</v>
      </c>
      <c r="CU11" s="41">
        <v>0</v>
      </c>
      <c r="CV11" s="41">
        <v>0</v>
      </c>
      <c r="CW11" s="41">
        <v>466643.61800000002</v>
      </c>
      <c r="CX11" s="41">
        <v>1719050.04</v>
      </c>
      <c r="CY11" s="41">
        <v>1517314.17</v>
      </c>
      <c r="CZ11" s="41">
        <v>17602.896000000001</v>
      </c>
      <c r="DA11" s="41">
        <v>1411562.2690000001</v>
      </c>
      <c r="DB11" s="41">
        <v>452098.00599999999</v>
      </c>
      <c r="DC11" s="41">
        <v>130860.302</v>
      </c>
      <c r="DD11" s="41">
        <v>3694.9209999999998</v>
      </c>
      <c r="DE11" s="41">
        <v>4458.9889999999996</v>
      </c>
      <c r="DF11" s="41">
        <v>0</v>
      </c>
      <c r="DG11" s="41">
        <v>0</v>
      </c>
      <c r="DH11" s="41">
        <v>0</v>
      </c>
      <c r="DI11" s="41">
        <v>51072.792999999998</v>
      </c>
      <c r="DJ11" s="41">
        <v>699247.52599999995</v>
      </c>
      <c r="DK11" s="47">
        <v>9207.5</v>
      </c>
      <c r="DL11" s="41">
        <v>1421684.267</v>
      </c>
      <c r="DM11" s="41">
        <v>4661.6679999999997</v>
      </c>
      <c r="DN11" s="41">
        <v>93.239000000000004</v>
      </c>
      <c r="DO11" s="41">
        <v>325089.81099999999</v>
      </c>
      <c r="DP11" s="41">
        <v>165245.21900000001</v>
      </c>
      <c r="DQ11" s="41">
        <v>0</v>
      </c>
      <c r="DR11" s="47">
        <v>0</v>
      </c>
      <c r="DS11" s="41">
        <v>0</v>
      </c>
      <c r="DT11" s="41">
        <v>100008.12699999999</v>
      </c>
      <c r="DU11" s="41">
        <v>564254.56900000002</v>
      </c>
      <c r="DV11" s="41">
        <v>753349.25899999996</v>
      </c>
      <c r="DW11" s="41">
        <v>121167.69500000001</v>
      </c>
      <c r="DX11" s="41">
        <v>852.34</v>
      </c>
      <c r="DY11" s="41">
        <v>216189.05100000001</v>
      </c>
      <c r="DZ11" s="41">
        <v>0</v>
      </c>
    </row>
    <row r="12" spans="1:130" ht="19.5">
      <c r="A12" s="72" t="s">
        <v>74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884517.55099999998</v>
      </c>
      <c r="AY12" s="29">
        <v>828701.09400000004</v>
      </c>
      <c r="AZ12" s="29">
        <v>925116.10100000002</v>
      </c>
      <c r="BA12" s="29">
        <v>873907.19200000004</v>
      </c>
      <c r="BB12" s="29">
        <v>282466.522</v>
      </c>
      <c r="BC12" s="29">
        <v>687237.7</v>
      </c>
      <c r="BD12" s="29">
        <v>572792.53399999999</v>
      </c>
      <c r="BE12" s="29">
        <v>32729.436999999998</v>
      </c>
      <c r="BF12" s="30">
        <v>675937.73199999996</v>
      </c>
      <c r="BG12" s="29">
        <v>930934.69</v>
      </c>
      <c r="BH12" s="29">
        <v>844673.44400000002</v>
      </c>
      <c r="BI12" s="29">
        <v>931746.42799999996</v>
      </c>
      <c r="BJ12" s="29">
        <v>941220.65500000003</v>
      </c>
      <c r="BK12" s="29">
        <v>807849.03700000001</v>
      </c>
      <c r="BL12" s="29">
        <v>833753.52599999995</v>
      </c>
      <c r="BM12" s="29">
        <v>886841.25199999998</v>
      </c>
      <c r="BN12" s="29">
        <v>153639.87100000001</v>
      </c>
      <c r="BO12" s="29">
        <v>300103.701</v>
      </c>
      <c r="BP12" s="36">
        <v>158688.57500000001</v>
      </c>
      <c r="BQ12" s="29">
        <v>396142.67300000001</v>
      </c>
      <c r="BR12" s="29">
        <v>353599.54800000001</v>
      </c>
      <c r="BS12" s="29">
        <v>345501.82</v>
      </c>
      <c r="BT12" s="29">
        <v>693609.29599999997</v>
      </c>
      <c r="BU12" s="29">
        <v>402883.56</v>
      </c>
      <c r="BV12" s="29">
        <v>1047972.94</v>
      </c>
      <c r="BW12" s="41">
        <v>723250.52</v>
      </c>
      <c r="BX12" s="41">
        <v>8574.3680000000004</v>
      </c>
      <c r="BY12" s="47">
        <v>380495.66800000001</v>
      </c>
      <c r="BZ12" s="47">
        <v>295858.54700000002</v>
      </c>
      <c r="CA12" s="41">
        <v>807332.45299999998</v>
      </c>
      <c r="CB12" s="41">
        <v>727541.72100000002</v>
      </c>
      <c r="CC12" s="41">
        <v>720948.28200000001</v>
      </c>
      <c r="CD12" s="41">
        <v>639390.53099999996</v>
      </c>
      <c r="CE12" s="41">
        <v>477832.34399999998</v>
      </c>
      <c r="CF12" s="41">
        <v>644402.25800000003</v>
      </c>
      <c r="CG12" s="41">
        <v>923160.64199999999</v>
      </c>
      <c r="CH12" s="41">
        <v>880333.77300000004</v>
      </c>
      <c r="CI12" s="41">
        <v>1235508.6189999999</v>
      </c>
      <c r="CJ12" s="41">
        <v>984113.98699999996</v>
      </c>
      <c r="CK12" s="41">
        <v>62594.455000000002</v>
      </c>
      <c r="CL12" s="41">
        <v>22227.982</v>
      </c>
      <c r="CM12" s="41">
        <v>0</v>
      </c>
      <c r="CN12" s="41">
        <v>0</v>
      </c>
      <c r="CO12" s="41">
        <v>20383.109</v>
      </c>
      <c r="CP12" s="41">
        <v>57063.781000000003</v>
      </c>
      <c r="CQ12" s="41">
        <v>0</v>
      </c>
      <c r="CR12" s="41">
        <v>0</v>
      </c>
      <c r="CS12" s="41">
        <v>0</v>
      </c>
      <c r="CT12" s="41">
        <v>0</v>
      </c>
      <c r="CU12" s="41">
        <v>0</v>
      </c>
      <c r="CV12" s="41">
        <v>0</v>
      </c>
      <c r="CW12" s="41">
        <v>0</v>
      </c>
      <c r="CX12" s="41">
        <v>0</v>
      </c>
      <c r="CY12" s="41">
        <v>30307.924999999999</v>
      </c>
      <c r="CZ12" s="41">
        <v>518.024</v>
      </c>
      <c r="DA12" s="41">
        <v>0</v>
      </c>
      <c r="DB12" s="41">
        <v>181871.51800000001</v>
      </c>
      <c r="DC12" s="41">
        <v>74459.398000000001</v>
      </c>
      <c r="DD12" s="41">
        <v>216676.603</v>
      </c>
      <c r="DE12" s="41">
        <v>736594.31200000003</v>
      </c>
      <c r="DF12" s="41">
        <v>1234044.48</v>
      </c>
      <c r="DG12" s="41">
        <v>959665.75600000005</v>
      </c>
      <c r="DH12" s="41">
        <v>988487.41399999999</v>
      </c>
      <c r="DI12" s="41">
        <v>659822.57499999995</v>
      </c>
      <c r="DJ12" s="41">
        <v>106375.785</v>
      </c>
      <c r="DK12" s="47">
        <v>0</v>
      </c>
      <c r="DL12" s="41">
        <v>0</v>
      </c>
      <c r="DM12" s="41">
        <v>746393.75300000003</v>
      </c>
      <c r="DN12" s="41">
        <v>569918.35</v>
      </c>
      <c r="DO12" s="41">
        <v>13317.748</v>
      </c>
      <c r="DP12" s="41">
        <v>425545.99699999997</v>
      </c>
      <c r="DQ12" s="41">
        <v>318447.152</v>
      </c>
      <c r="DR12" s="47">
        <v>1936484.8940000001</v>
      </c>
      <c r="DS12" s="41">
        <v>1455407.047</v>
      </c>
      <c r="DT12" s="41">
        <v>38750.667999999998</v>
      </c>
      <c r="DU12" s="41">
        <v>360417.99699999997</v>
      </c>
      <c r="DV12" s="41">
        <v>302061.55300000001</v>
      </c>
      <c r="DW12" s="41">
        <v>534455.33400000003</v>
      </c>
      <c r="DX12" s="41">
        <v>1.1759999999999999</v>
      </c>
      <c r="DY12" s="41">
        <v>419523.23599999998</v>
      </c>
      <c r="DZ12" s="41">
        <v>413505.67099999997</v>
      </c>
    </row>
    <row r="13" spans="1:130" s="66" customFormat="1" ht="17">
      <c r="A13" s="58" t="s">
        <v>76</v>
      </c>
      <c r="B13" s="73">
        <f t="shared" ref="B13" si="10">SUM(B14:B15)</f>
        <v>2738.1023999999998</v>
      </c>
      <c r="C13" s="73">
        <f t="shared" ref="C13" si="11">SUM(C14:C15)</f>
        <v>1665.4863</v>
      </c>
      <c r="D13" s="73">
        <f t="shared" ref="D13" si="12">SUM(D14:D15)</f>
        <v>1549.76998</v>
      </c>
      <c r="E13" s="73">
        <f t="shared" ref="E13" si="13">SUM(E14:E15)</f>
        <v>841.96826999999985</v>
      </c>
      <c r="F13" s="73">
        <f t="shared" ref="F13" si="14">SUM(F14:F15)</f>
        <v>958.01432</v>
      </c>
      <c r="G13" s="73">
        <f t="shared" ref="G13" si="15">SUM(G14:G15)</f>
        <v>1223.2720800000002</v>
      </c>
      <c r="H13" s="73">
        <f t="shared" ref="H13" si="16">SUM(H14:H15)</f>
        <v>1321.7573600000001</v>
      </c>
      <c r="I13" s="73">
        <f t="shared" ref="I13" si="17">SUM(I14:I15)</f>
        <v>1311.02971</v>
      </c>
      <c r="J13" s="73">
        <f t="shared" ref="J13" si="18">SUM(J14:J15)</f>
        <v>619.78521000000001</v>
      </c>
      <c r="K13" s="73">
        <f t="shared" ref="K13" si="19">SUM(K14:K15)</f>
        <v>930.97146000000009</v>
      </c>
      <c r="L13" s="73">
        <f t="shared" ref="L13" si="20">SUM(L14:L15)</f>
        <v>1411.3259600000001</v>
      </c>
      <c r="M13" s="73">
        <f t="shared" ref="M13" si="21">SUM(M14:M15)</f>
        <v>2292.2808600000003</v>
      </c>
      <c r="N13" s="73">
        <f t="shared" ref="N13" si="22">SUM(N14:N15)</f>
        <v>1755.75632</v>
      </c>
      <c r="O13" s="73">
        <f t="shared" ref="O13" si="23">SUM(O14:O15)</f>
        <v>1473.9289199999998</v>
      </c>
      <c r="P13" s="73">
        <f t="shared" ref="P13" si="24">SUM(P14:P15)</f>
        <v>692.74910999999997</v>
      </c>
      <c r="Q13" s="73">
        <f t="shared" ref="Q13" si="25">SUM(Q14:Q15)</f>
        <v>890.93550000000005</v>
      </c>
      <c r="R13" s="73">
        <f t="shared" ref="R13" si="26">SUM(R14:R15)</f>
        <v>1427.0281300000001</v>
      </c>
      <c r="S13" s="73">
        <f t="shared" ref="S13" si="27">SUM(S14:S15)</f>
        <v>1140.8985</v>
      </c>
      <c r="T13" s="73">
        <f t="shared" ref="T13" si="28">SUM(T14:T15)</f>
        <v>2432.6102700000001</v>
      </c>
      <c r="U13" s="73">
        <f t="shared" ref="U13" si="29">SUM(U14:U15)</f>
        <v>1042.3456999999999</v>
      </c>
      <c r="V13" s="73">
        <f t="shared" ref="V13" si="30">SUM(V14:V15)</f>
        <v>1187.3316300000001</v>
      </c>
      <c r="W13" s="73">
        <f t="shared" ref="W13" si="31">SUM(W14:W15)</f>
        <v>3312.8231700000001</v>
      </c>
      <c r="X13" s="73">
        <f t="shared" ref="X13" si="32">SUM(X14:X15)</f>
        <v>1542.1367700000001</v>
      </c>
      <c r="Y13" s="73">
        <f t="shared" ref="Y13" si="33">SUM(Y14:Y15)</f>
        <v>1603.4295199999999</v>
      </c>
      <c r="Z13" s="73">
        <f t="shared" ref="Z13" si="34">SUM(Z14:Z15)</f>
        <v>2892.76296</v>
      </c>
      <c r="AA13" s="73">
        <f t="shared" ref="AA13" si="35">SUM(AA14:AA15)</f>
        <v>1830.5679399999999</v>
      </c>
      <c r="AB13" s="73">
        <f t="shared" ref="AB13" si="36">SUM(AB14:AB15)</f>
        <v>1271.8318400000001</v>
      </c>
      <c r="AC13" s="73">
        <f t="shared" ref="AC13" si="37">SUM(AC14:AC15)</f>
        <v>1694.2793999999999</v>
      </c>
      <c r="AD13" s="73">
        <f t="shared" ref="AD13" si="38">SUM(AD14:AD15)</f>
        <v>3587.3510399999996</v>
      </c>
      <c r="AE13" s="73">
        <f t="shared" ref="AE13" si="39">SUM(AE14:AE15)</f>
        <v>2012.5249200000003</v>
      </c>
      <c r="AF13" s="73">
        <f t="shared" ref="AF13" si="40">SUM(AF14:AF15)</f>
        <v>3073.7420999999999</v>
      </c>
      <c r="AG13" s="73">
        <f t="shared" ref="AG13" si="41">SUM(AG14:AG15)</f>
        <v>396.54251999999997</v>
      </c>
      <c r="AH13" s="73">
        <f t="shared" ref="AH13" si="42">SUM(AH14:AH15)</f>
        <v>-252.40031999999999</v>
      </c>
      <c r="AI13" s="73">
        <f t="shared" ref="AI13" si="43">SUM(AI14:AI15)</f>
        <v>826.88771999999994</v>
      </c>
      <c r="AJ13" s="73">
        <f t="shared" ref="AJ13" si="44">SUM(AJ14:AJ15)</f>
        <v>1968.8818000000001</v>
      </c>
      <c r="AK13" s="73">
        <f t="shared" ref="AK13" si="45">SUM(AK14:AK15)</f>
        <v>1921.71884</v>
      </c>
      <c r="AL13" s="73">
        <f t="shared" ref="AL13" si="46">SUM(AL14:AL15)</f>
        <v>2414.4157700000001</v>
      </c>
      <c r="AM13" s="73">
        <f t="shared" ref="AM13" si="47">SUM(AM14:AM15)</f>
        <v>3073.90353</v>
      </c>
      <c r="AN13" s="73">
        <f t="shared" ref="AN13" si="48">SUM(AN14:AN15)</f>
        <v>2546.7069999999999</v>
      </c>
      <c r="AO13" s="73">
        <f t="shared" ref="AO13" si="49">SUM(AO14:AO15)</f>
        <v>950.62544000000003</v>
      </c>
      <c r="AP13" s="73">
        <f t="shared" ref="AP13" si="50">SUM(AP14:AP15)</f>
        <v>5268.9655199999997</v>
      </c>
      <c r="AQ13" s="73">
        <f t="shared" ref="AQ13" si="51">SUM(AQ14:AQ15)</f>
        <v>1915.70137</v>
      </c>
      <c r="AR13" s="73">
        <f t="shared" ref="AR13" si="52">SUM(AR14:AR15)</f>
        <v>891.51031</v>
      </c>
      <c r="AS13" s="73">
        <f t="shared" ref="AS13" si="53">SUM(AS14:AS15)</f>
        <v>1675.19532</v>
      </c>
      <c r="AT13" s="73">
        <f t="shared" ref="AT13" si="54">SUM(AT14:AT15)</f>
        <v>2496.0503600000002</v>
      </c>
      <c r="AU13" s="73">
        <f t="shared" ref="AU13" si="55">SUM(AU14:AU15)</f>
        <v>2606.1465899999998</v>
      </c>
      <c r="AV13" s="73">
        <f t="shared" ref="AV13" si="56">SUM(AV14:AV15)</f>
        <v>1837.2873099999999</v>
      </c>
      <c r="AW13" s="73">
        <f t="shared" ref="AW13" si="57">SUM(AW14:AW15)</f>
        <v>1236.1954699999999</v>
      </c>
      <c r="AX13" s="73">
        <f t="shared" ref="AX13" si="58">SUM(AX14:AX15)</f>
        <v>686.83952999999997</v>
      </c>
      <c r="AY13" s="73">
        <f t="shared" ref="AY13" si="59">SUM(AY14:AY15)</f>
        <v>146.89470000000006</v>
      </c>
      <c r="AZ13" s="73">
        <f t="shared" ref="AZ13" si="60">SUM(AZ14:AZ15)</f>
        <v>-1815.82681</v>
      </c>
      <c r="BA13" s="73">
        <f t="shared" ref="BA13" si="61">SUM(BA14:BA15)</f>
        <v>191.86350000000002</v>
      </c>
      <c r="BB13" s="73">
        <f t="shared" ref="BB13" si="62">SUM(BB14:BB15)</f>
        <v>1940.7285200000001</v>
      </c>
      <c r="BC13" s="73">
        <f t="shared" ref="BC13" si="63">SUM(BC14:BC15)</f>
        <v>-171.78650000000002</v>
      </c>
      <c r="BD13" s="73">
        <f t="shared" ref="BD13" si="64">SUM(BD14:BD15)</f>
        <v>1099.1337699999999</v>
      </c>
      <c r="BE13" s="73">
        <f t="shared" ref="BE13" si="65">SUM(BE14:BE15)</f>
        <v>4529.4382699999996</v>
      </c>
      <c r="BF13" s="73">
        <f t="shared" ref="BF13" si="66">SUM(BF14:BF15)</f>
        <v>-831.7946199999999</v>
      </c>
      <c r="BG13" s="73">
        <f t="shared" ref="BG13" si="67">SUM(BG14:BG15)</f>
        <v>76.554250000000025</v>
      </c>
      <c r="BH13" s="73">
        <f t="shared" ref="BH13" si="68">SUM(BH14:BH15)</f>
        <v>842.52463</v>
      </c>
      <c r="BI13" s="73">
        <f t="shared" ref="BI13" si="69">SUM(BI14:BI15)</f>
        <v>90.591380000037972</v>
      </c>
      <c r="BJ13" s="73">
        <f t="shared" ref="BJ13" si="70">SUM(BJ14:BJ15)</f>
        <v>2035.8039600000002</v>
      </c>
      <c r="BK13" s="73">
        <f t="shared" ref="BK13" si="71">SUM(BK14:BK15)</f>
        <v>2856.5571299999997</v>
      </c>
      <c r="BL13" s="73">
        <f t="shared" ref="BL13" si="72">SUM(BL14:BL15)</f>
        <v>955.70288999999991</v>
      </c>
      <c r="BM13" s="73">
        <f t="shared" ref="BM13" si="73">SUM(BM14:BM15)</f>
        <v>-154.70932000000002</v>
      </c>
      <c r="BN13" s="73">
        <f t="shared" ref="BN13" si="74">SUM(BN14:BN15)</f>
        <v>1441.7811600000002</v>
      </c>
      <c r="BO13" s="73">
        <f t="shared" ref="BO13" si="75">SUM(BO14:BO15)</f>
        <v>3958.00713</v>
      </c>
      <c r="BP13" s="73">
        <f t="shared" ref="BP13" si="76">SUM(BP14:BP15)</f>
        <v>6682.27603</v>
      </c>
      <c r="BQ13" s="73">
        <f t="shared" ref="BQ13" si="77">SUM(BQ14:BQ15)</f>
        <v>372.24488999999994</v>
      </c>
      <c r="BR13" s="73">
        <f t="shared" ref="BR13" si="78">SUM(BR14:BR15)</f>
        <v>877.25046999999995</v>
      </c>
      <c r="BS13" s="73">
        <f t="shared" ref="BS13" si="79">SUM(BS14:BS15)</f>
        <v>583.16404999999997</v>
      </c>
      <c r="BT13" s="73">
        <f t="shared" ref="BT13" si="80">SUM(BT14:BT15)</f>
        <v>805.30368999999996</v>
      </c>
      <c r="BU13" s="73">
        <f t="shared" ref="BU13" si="81">SUM(BU14:BU15)</f>
        <v>1869.3228100000001</v>
      </c>
      <c r="BV13" s="73">
        <f t="shared" ref="BV13" si="82">SUM(BV14:BV15)</f>
        <v>1016.70429</v>
      </c>
      <c r="BW13" s="73">
        <f t="shared" ref="BW13" si="83">SUM(BW14:BW15)</f>
        <v>1747.3089</v>
      </c>
      <c r="BX13" s="73">
        <f t="shared" ref="BX13" si="84">SUM(BX14:BX15)</f>
        <v>2353.82269</v>
      </c>
      <c r="BY13" s="73">
        <f t="shared" ref="BY13" si="85">SUM(BY14:BY15)</f>
        <v>1389.9631099999999</v>
      </c>
      <c r="BZ13" s="73">
        <f t="shared" ref="BZ13" si="86">SUM(BZ14:BZ15)</f>
        <v>2023.2155599999999</v>
      </c>
      <c r="CA13" s="73">
        <f t="shared" ref="CA13" si="87">SUM(CA14:CA15)</f>
        <v>1636.57394</v>
      </c>
      <c r="CB13" s="73">
        <f t="shared" ref="CB13" si="88">SUM(CB14:CB15)</f>
        <v>1760.66157</v>
      </c>
      <c r="CC13" s="73">
        <f t="shared" ref="CC13" si="89">SUM(CC14:CC15)</f>
        <v>1708.6643839999999</v>
      </c>
      <c r="CD13" s="73">
        <f t="shared" ref="CD13" si="90">SUM(CD14:CD15)</f>
        <v>914.26405</v>
      </c>
      <c r="CE13" s="73">
        <f t="shared" ref="CE13" si="91">SUM(CE14:CE15)</f>
        <v>2201.7514299999998</v>
      </c>
      <c r="CF13" s="73">
        <f t="shared" ref="CF13" si="92">SUM(CF14:CF15)</f>
        <v>2503.49349999997</v>
      </c>
      <c r="CG13" s="73">
        <f t="shared" ref="CG13" si="93">SUM(CG14:CG15)</f>
        <v>3636.1972799999999</v>
      </c>
      <c r="CH13" s="73">
        <f t="shared" ref="CH13" si="94">SUM(CH14:CH15)</f>
        <v>2653.3032800000001</v>
      </c>
      <c r="CI13" s="73">
        <f t="shared" ref="CI13" si="95">SUM(CI14:CI15)</f>
        <v>2221.53674</v>
      </c>
      <c r="CJ13" s="73">
        <f t="shared" ref="CJ13" si="96">SUM(CJ14:CJ15)</f>
        <v>1761.2670099999998</v>
      </c>
      <c r="CK13" s="73">
        <f t="shared" ref="CK13" si="97">SUM(CK14:CK15)</f>
        <v>2185.4295099999999</v>
      </c>
      <c r="CL13" s="73">
        <f t="shared" ref="CL13" si="98">SUM(CL14:CL15)</f>
        <v>2629.2305400000005</v>
      </c>
      <c r="CM13" s="73">
        <f t="shared" ref="CM13" si="99">SUM(CM14:CM15)</f>
        <v>3142.9041900000002</v>
      </c>
      <c r="CN13" s="73">
        <f t="shared" ref="CN13" si="100">SUM(CN14:CN15)</f>
        <v>3356.3895199999797</v>
      </c>
      <c r="CO13" s="73">
        <f t="shared" ref="CO13" si="101">SUM(CO14:CO15)</f>
        <v>1930.8411030000002</v>
      </c>
      <c r="CP13" s="73">
        <f t="shared" ref="CP13" si="102">SUM(CP14:CP15)</f>
        <v>2421.1465500000004</v>
      </c>
      <c r="CQ13" s="73">
        <f t="shared" ref="CQ13" si="103">SUM(CQ14:CQ15)</f>
        <v>2680.6500900000001</v>
      </c>
      <c r="CR13" s="73">
        <f t="shared" ref="CR13" si="104">SUM(CR14:CR15)</f>
        <v>5407.91</v>
      </c>
      <c r="CS13" s="73">
        <f t="shared" ref="CS13" si="105">SUM(CS14:CS15)</f>
        <v>1861.6486399999999</v>
      </c>
      <c r="CT13" s="73">
        <f t="shared" ref="CT13" si="106">SUM(CT14:CT15)</f>
        <v>2416.8531499999999</v>
      </c>
      <c r="CU13" s="73">
        <f t="shared" ref="CU13" si="107">SUM(CU14:CU15)</f>
        <v>2076.830194439</v>
      </c>
      <c r="CV13" s="73">
        <f t="shared" ref="CV13" si="108">SUM(CV14:CV15)</f>
        <v>1718.9649300000001</v>
      </c>
      <c r="CW13" s="73">
        <f t="shared" ref="CW13" si="109">SUM(CW14:CW15)</f>
        <v>-3539.7852499999999</v>
      </c>
      <c r="CX13" s="73">
        <f t="shared" ref="CX13" si="110">SUM(CX14:CX15)</f>
        <v>9968.1930400000001</v>
      </c>
      <c r="CY13" s="73">
        <f t="shared" ref="CY13" si="111">SUM(CY14:CY15)</f>
        <v>2784.39966</v>
      </c>
      <c r="CZ13" s="73">
        <f t="shared" ref="CZ13" si="112">SUM(CZ14:CZ15)</f>
        <v>6998.6722200000004</v>
      </c>
      <c r="DA13" s="73">
        <f t="shared" ref="DA13" si="113">SUM(DA14:DA15)</f>
        <v>12705.66368</v>
      </c>
      <c r="DB13" s="73">
        <f t="shared" ref="DB13" si="114">SUM(DB14:DB15)</f>
        <v>10731.36102</v>
      </c>
      <c r="DC13" s="73">
        <f t="shared" ref="DC13" si="115">SUM(DC14:DC15)</f>
        <v>822.05343999999991</v>
      </c>
      <c r="DD13" s="73">
        <f t="shared" ref="DD13" si="116">SUM(DD14:DD15)</f>
        <v>-284.11183999999997</v>
      </c>
      <c r="DE13" s="73">
        <f t="shared" ref="DE13" si="117">SUM(DE14:DE15)</f>
        <v>2027.4775100000002</v>
      </c>
      <c r="DF13" s="73">
        <f t="shared" ref="DF13" si="118">SUM(DF14:DF15)</f>
        <v>5090.5665099999997</v>
      </c>
      <c r="DG13" s="73">
        <f t="shared" ref="DG13" si="119">SUM(DG14:DG15)</f>
        <v>4484.9092799999999</v>
      </c>
      <c r="DH13" s="73">
        <f t="shared" ref="DH13" si="120">SUM(DH14:DH15)</f>
        <v>4297.1427899999999</v>
      </c>
      <c r="DI13" s="73">
        <f t="shared" ref="DI13" si="121">SUM(DI14:DI15)</f>
        <v>5841.3250700000008</v>
      </c>
      <c r="DJ13" s="73">
        <f t="shared" ref="DJ13" si="122">SUM(DJ14:DJ15)</f>
        <v>440.34288000000004</v>
      </c>
      <c r="DK13" s="73">
        <f t="shared" ref="DK13" si="123">SUM(DK14:DK15)</f>
        <v>3963.5864200000001</v>
      </c>
      <c r="DL13" s="73">
        <f t="shared" ref="DL13" si="124">SUM(DL14:DL15)</f>
        <v>25.049080000000004</v>
      </c>
      <c r="DM13" s="73">
        <f t="shared" ref="DM13" si="125">SUM(DM14:DM15)</f>
        <v>84.960070000000002</v>
      </c>
      <c r="DN13" s="73">
        <f t="shared" ref="DN13" si="126">SUM(DN14:DN15)</f>
        <v>4485.9511400000001</v>
      </c>
      <c r="DO13" s="73">
        <f t="shared" ref="DO13" si="127">SUM(DO14:DO15)</f>
        <v>-1750.2346500000003</v>
      </c>
      <c r="DP13" s="73">
        <f t="shared" ref="DP13" si="128">SUM(DP14:DP15)</f>
        <v>2377.94569</v>
      </c>
      <c r="DQ13" s="73">
        <f t="shared" ref="DQ13" si="129">SUM(DQ14:DQ15)</f>
        <v>3152.2696100000003</v>
      </c>
      <c r="DR13" s="73">
        <f t="shared" ref="DR13" si="130">SUM(DR14:DR15)</f>
        <v>7420.8994699999994</v>
      </c>
      <c r="DS13" s="73">
        <f t="shared" ref="DS13" si="131">SUM(DS14:DS15)</f>
        <v>4449.8757299999997</v>
      </c>
      <c r="DT13" s="73">
        <f t="shared" ref="DT13" si="132">SUM(DT14:DT15)</f>
        <v>3408.9340700000002</v>
      </c>
      <c r="DU13" s="73">
        <f t="shared" ref="DU13" si="133">SUM(DU14:DU15)</f>
        <v>267.26616000000001</v>
      </c>
      <c r="DV13" s="73">
        <f t="shared" ref="DV13" si="134">SUM(DV14:DV15)</f>
        <v>353.81</v>
      </c>
      <c r="DW13" s="73">
        <f t="shared" ref="DW13:DZ13" si="135">SUM(DW14:DW15)</f>
        <v>2530.567</v>
      </c>
      <c r="DX13" s="73">
        <f t="shared" si="135"/>
        <v>5653.7640000000001</v>
      </c>
      <c r="DY13" s="73">
        <f t="shared" si="135"/>
        <v>66.961000000000013</v>
      </c>
      <c r="DZ13" s="73">
        <f t="shared" si="135"/>
        <v>3940.3449999999998</v>
      </c>
    </row>
    <row r="14" spans="1:130" ht="19.5">
      <c r="A14" s="69" t="s">
        <v>75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202.43844000000001</v>
      </c>
      <c r="H14" s="29">
        <v>315.75761</v>
      </c>
      <c r="I14" s="29">
        <v>113.61719000000001</v>
      </c>
      <c r="J14" s="29">
        <v>0</v>
      </c>
      <c r="K14" s="29">
        <v>0</v>
      </c>
      <c r="L14" s="29">
        <v>1347.4781200000002</v>
      </c>
      <c r="M14" s="29">
        <v>0</v>
      </c>
      <c r="N14" s="29">
        <v>0</v>
      </c>
      <c r="O14" s="29">
        <v>0</v>
      </c>
      <c r="P14" s="29">
        <v>0</v>
      </c>
      <c r="Q14" s="29">
        <v>47.680500000000002</v>
      </c>
      <c r="R14" s="29">
        <v>551.49077</v>
      </c>
      <c r="S14" s="29">
        <v>379.00799999999998</v>
      </c>
      <c r="T14" s="29">
        <v>518.45346000000006</v>
      </c>
      <c r="U14" s="29">
        <v>221.53999999999996</v>
      </c>
      <c r="V14" s="29">
        <v>0</v>
      </c>
      <c r="W14" s="29">
        <v>945.85980000000006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2473.4447999999998</v>
      </c>
      <c r="AE14" s="29">
        <v>764.8352000000001</v>
      </c>
      <c r="AF14" s="29">
        <v>3690.2293999999997</v>
      </c>
      <c r="AG14" s="29">
        <v>1914.9674399999999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473.40143999999998</v>
      </c>
      <c r="AP14" s="29">
        <v>4917.4689699999999</v>
      </c>
      <c r="AQ14" s="29">
        <v>1352.79943</v>
      </c>
      <c r="AR14" s="29">
        <v>718.38297</v>
      </c>
      <c r="AS14" s="29">
        <v>1803.64753</v>
      </c>
      <c r="AT14" s="29">
        <v>2230.88636</v>
      </c>
      <c r="AU14" s="29">
        <v>2346.6775899999998</v>
      </c>
      <c r="AV14" s="29">
        <v>447.15276</v>
      </c>
      <c r="AW14" s="29">
        <v>3.6015000000000001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29">
        <v>0</v>
      </c>
      <c r="BD14" s="29">
        <v>537.81790000000001</v>
      </c>
      <c r="BE14" s="29">
        <v>8.0860500000000002</v>
      </c>
      <c r="BF14" s="30">
        <v>0</v>
      </c>
      <c r="BG14" s="29">
        <v>0</v>
      </c>
      <c r="BH14" s="34">
        <v>9.3945699999999999</v>
      </c>
      <c r="BI14" s="29">
        <v>89.388390000000001</v>
      </c>
      <c r="BJ14" s="29">
        <v>0</v>
      </c>
      <c r="BK14" s="29">
        <v>49.0914</v>
      </c>
      <c r="BL14" s="29">
        <v>163.96448000000001</v>
      </c>
      <c r="BM14" s="29">
        <v>46.738079999999997</v>
      </c>
      <c r="BN14" s="29">
        <v>50.947020000000002</v>
      </c>
      <c r="BO14" s="29">
        <v>2037.55933</v>
      </c>
      <c r="BP14" s="29">
        <v>5019.76415</v>
      </c>
      <c r="BQ14" s="29">
        <v>775.07007999999996</v>
      </c>
      <c r="BR14" s="29">
        <v>0</v>
      </c>
      <c r="BS14" s="29">
        <v>333.27614999999997</v>
      </c>
      <c r="BT14" s="29">
        <v>0</v>
      </c>
      <c r="BU14" s="29">
        <v>0</v>
      </c>
      <c r="BV14" s="29">
        <v>0</v>
      </c>
      <c r="BW14" s="41">
        <v>263.92455999999999</v>
      </c>
      <c r="BX14" s="41">
        <v>0</v>
      </c>
      <c r="BY14" s="41">
        <v>0</v>
      </c>
      <c r="BZ14" s="47">
        <v>1266.3538799999999</v>
      </c>
      <c r="CA14" s="41">
        <v>405.84192000000002</v>
      </c>
      <c r="CB14" s="41">
        <v>0</v>
      </c>
      <c r="CC14" s="41">
        <v>1092.49866</v>
      </c>
      <c r="CD14" s="41">
        <v>3.8159999999999998</v>
      </c>
      <c r="CE14" s="41">
        <v>0</v>
      </c>
      <c r="CF14" s="41">
        <v>0</v>
      </c>
      <c r="CG14" s="41">
        <v>0</v>
      </c>
      <c r="CH14" s="41">
        <v>0</v>
      </c>
      <c r="CI14" s="41">
        <v>0</v>
      </c>
      <c r="CJ14" s="41">
        <v>53.200400000000002</v>
      </c>
      <c r="CK14" s="41">
        <v>0</v>
      </c>
      <c r="CL14" s="41">
        <v>2.1081599999999998</v>
      </c>
      <c r="CM14" s="41">
        <v>768.67300999999998</v>
      </c>
      <c r="CN14" s="41">
        <v>581.70453999999995</v>
      </c>
      <c r="CO14" s="41">
        <v>2398.9789930000002</v>
      </c>
      <c r="CP14" s="41">
        <v>2955.7840000000001</v>
      </c>
      <c r="CQ14" s="41">
        <v>135.32499999999999</v>
      </c>
      <c r="CR14" s="41">
        <v>0</v>
      </c>
      <c r="CS14" s="41">
        <v>0</v>
      </c>
      <c r="CT14" s="41">
        <v>0</v>
      </c>
      <c r="CU14" s="41">
        <v>0</v>
      </c>
      <c r="CV14" s="41">
        <v>73.043000000000006</v>
      </c>
      <c r="CW14" s="41">
        <v>0</v>
      </c>
      <c r="CX14" s="41">
        <v>1653.4269999999999</v>
      </c>
      <c r="CY14" s="41">
        <v>72.438199999999995</v>
      </c>
      <c r="CZ14" s="41">
        <v>3470.7370000000001</v>
      </c>
      <c r="DA14" s="41">
        <v>52.162300000000002</v>
      </c>
      <c r="DB14" s="41">
        <v>0</v>
      </c>
      <c r="DC14" s="41">
        <v>50.722000000000001</v>
      </c>
      <c r="DD14" s="41">
        <v>57.593000000000004</v>
      </c>
      <c r="DE14" s="41">
        <v>0</v>
      </c>
      <c r="DF14" s="41">
        <v>0</v>
      </c>
      <c r="DG14" s="41">
        <v>0</v>
      </c>
      <c r="DH14" s="41">
        <v>0</v>
      </c>
      <c r="DI14" s="41">
        <v>893.64800000000002</v>
      </c>
      <c r="DJ14" s="41">
        <v>679.36599999999999</v>
      </c>
      <c r="DK14" s="47">
        <v>4180.3209999999999</v>
      </c>
      <c r="DL14" s="41">
        <v>1092.3510000000001</v>
      </c>
      <c r="DM14" s="41">
        <v>0.57799999999999996</v>
      </c>
      <c r="DN14" s="41">
        <v>0</v>
      </c>
      <c r="DO14" s="41">
        <v>94.932999999999993</v>
      </c>
      <c r="DP14" s="41">
        <v>0</v>
      </c>
      <c r="DQ14" s="41">
        <v>0</v>
      </c>
      <c r="DR14" s="47">
        <v>0</v>
      </c>
      <c r="DS14" s="41">
        <v>0</v>
      </c>
      <c r="DT14" s="41">
        <v>0</v>
      </c>
      <c r="DU14" s="41">
        <v>0</v>
      </c>
      <c r="DV14" s="41">
        <v>180.767</v>
      </c>
      <c r="DW14" s="41">
        <v>488.31299999999999</v>
      </c>
      <c r="DX14" s="41">
        <v>1994.6980000000001</v>
      </c>
      <c r="DY14" s="41">
        <v>1209.2370000000001</v>
      </c>
      <c r="DZ14" s="41">
        <v>1117.904</v>
      </c>
    </row>
    <row r="15" spans="1:130" s="68" customFormat="1" ht="17">
      <c r="A15" s="69" t="s">
        <v>77</v>
      </c>
      <c r="B15" s="29">
        <v>2738.1023999999998</v>
      </c>
      <c r="C15" s="29">
        <v>1665.4863</v>
      </c>
      <c r="D15" s="29">
        <v>1549.76998</v>
      </c>
      <c r="E15" s="29">
        <v>841.96826999999985</v>
      </c>
      <c r="F15" s="29">
        <v>958.01432</v>
      </c>
      <c r="G15" s="29">
        <v>1020.8336400000001</v>
      </c>
      <c r="H15" s="29">
        <v>1005.9997499999999</v>
      </c>
      <c r="I15" s="29">
        <v>1197.4125200000001</v>
      </c>
      <c r="J15" s="29">
        <v>619.78521000000001</v>
      </c>
      <c r="K15" s="29">
        <v>930.97146000000009</v>
      </c>
      <c r="L15" s="29">
        <v>63.847840000000005</v>
      </c>
      <c r="M15" s="29">
        <v>2292.2808600000003</v>
      </c>
      <c r="N15" s="29">
        <v>1755.75632</v>
      </c>
      <c r="O15" s="29">
        <v>1473.9289199999998</v>
      </c>
      <c r="P15" s="29">
        <v>692.74910999999997</v>
      </c>
      <c r="Q15" s="29">
        <v>843.255</v>
      </c>
      <c r="R15" s="29">
        <v>875.53736000000004</v>
      </c>
      <c r="S15" s="29">
        <v>761.89049999999997</v>
      </c>
      <c r="T15" s="29">
        <v>1914.15681</v>
      </c>
      <c r="U15" s="29">
        <v>820.8057</v>
      </c>
      <c r="V15" s="29">
        <v>1187.3316300000001</v>
      </c>
      <c r="W15" s="29">
        <v>2366.9633699999999</v>
      </c>
      <c r="X15" s="29">
        <v>1542.1367700000001</v>
      </c>
      <c r="Y15" s="29">
        <v>1603.4295199999999</v>
      </c>
      <c r="Z15" s="29">
        <v>2892.76296</v>
      </c>
      <c r="AA15" s="29">
        <v>1830.5679399999999</v>
      </c>
      <c r="AB15" s="29">
        <v>1271.8318400000001</v>
      </c>
      <c r="AC15" s="29">
        <v>1694.2793999999999</v>
      </c>
      <c r="AD15" s="29">
        <v>1113.90624</v>
      </c>
      <c r="AE15" s="29">
        <v>1247.6897200000003</v>
      </c>
      <c r="AF15" s="29">
        <v>-616.48729999999989</v>
      </c>
      <c r="AG15" s="29">
        <v>-1518.4249199999999</v>
      </c>
      <c r="AH15" s="29">
        <v>-252.40031999999999</v>
      </c>
      <c r="AI15" s="29">
        <v>826.88771999999994</v>
      </c>
      <c r="AJ15" s="29">
        <v>1968.8818000000001</v>
      </c>
      <c r="AK15" s="29">
        <v>1921.71884</v>
      </c>
      <c r="AL15" s="29">
        <v>2414.4157700000001</v>
      </c>
      <c r="AM15" s="29">
        <v>3073.90353</v>
      </c>
      <c r="AN15" s="29">
        <v>2546.7069999999999</v>
      </c>
      <c r="AO15" s="29">
        <v>477.22399999999999</v>
      </c>
      <c r="AP15" s="29">
        <v>351.49655000000001</v>
      </c>
      <c r="AQ15" s="29">
        <v>562.90193999999997</v>
      </c>
      <c r="AR15" s="29">
        <v>173.12734</v>
      </c>
      <c r="AS15" s="29">
        <v>-128.45221000000001</v>
      </c>
      <c r="AT15" s="29">
        <v>265.16399999999999</v>
      </c>
      <c r="AU15" s="29">
        <v>259.46899999999999</v>
      </c>
      <c r="AV15" s="29">
        <v>1390.13455</v>
      </c>
      <c r="AW15" s="29">
        <v>1232.5939699999999</v>
      </c>
      <c r="AX15" s="29">
        <v>686.83952999999997</v>
      </c>
      <c r="AY15" s="29">
        <v>146.89470000000006</v>
      </c>
      <c r="AZ15" s="29">
        <v>-1815.82681</v>
      </c>
      <c r="BA15" s="29">
        <v>191.86350000000002</v>
      </c>
      <c r="BB15" s="29">
        <v>1940.7285200000001</v>
      </c>
      <c r="BC15" s="29">
        <v>-171.78650000000002</v>
      </c>
      <c r="BD15" s="29">
        <v>561.31587000000002</v>
      </c>
      <c r="BE15" s="29">
        <v>4521.3522199999998</v>
      </c>
      <c r="BF15" s="30">
        <v>-831.7946199999999</v>
      </c>
      <c r="BG15" s="29">
        <v>76.554250000000025</v>
      </c>
      <c r="BH15" s="34">
        <v>833.13005999999996</v>
      </c>
      <c r="BI15" s="29">
        <v>1.2029900000379701</v>
      </c>
      <c r="BJ15" s="29">
        <v>2035.8039600000002</v>
      </c>
      <c r="BK15" s="29">
        <v>2807.4657299999999</v>
      </c>
      <c r="BL15" s="29">
        <v>791.73840999999993</v>
      </c>
      <c r="BM15" s="29">
        <v>-201.44740000000002</v>
      </c>
      <c r="BN15" s="29">
        <v>1390.8341400000002</v>
      </c>
      <c r="BO15" s="29">
        <v>1920.4478000000001</v>
      </c>
      <c r="BP15" s="29">
        <v>1662.51188</v>
      </c>
      <c r="BQ15" s="29">
        <v>-402.82519000000002</v>
      </c>
      <c r="BR15" s="29">
        <v>877.25046999999995</v>
      </c>
      <c r="BS15" s="29">
        <v>249.8879</v>
      </c>
      <c r="BT15" s="29">
        <v>805.30368999999996</v>
      </c>
      <c r="BU15" s="29">
        <v>1869.3228100000001</v>
      </c>
      <c r="BV15" s="29">
        <v>1016.70429</v>
      </c>
      <c r="BW15" s="41">
        <v>1483.3843400000001</v>
      </c>
      <c r="BX15" s="41">
        <v>2353.82269</v>
      </c>
      <c r="BY15" s="47">
        <v>1389.9631099999999</v>
      </c>
      <c r="BZ15" s="47">
        <v>756.86167999999998</v>
      </c>
      <c r="CA15" s="41">
        <v>1230.7320199999999</v>
      </c>
      <c r="CB15" s="41">
        <v>1760.66157</v>
      </c>
      <c r="CC15" s="41">
        <v>616.16572399999995</v>
      </c>
      <c r="CD15" s="41">
        <v>910.44804999999997</v>
      </c>
      <c r="CE15" s="41">
        <v>2201.7514299999998</v>
      </c>
      <c r="CF15" s="41">
        <v>2503.49349999997</v>
      </c>
      <c r="CG15" s="41">
        <v>3636.1972799999999</v>
      </c>
      <c r="CH15" s="41">
        <v>2653.3032800000001</v>
      </c>
      <c r="CI15" s="41">
        <v>2221.53674</v>
      </c>
      <c r="CJ15" s="74">
        <v>1708.0666099999999</v>
      </c>
      <c r="CK15" s="41">
        <v>2185.4295099999999</v>
      </c>
      <c r="CL15" s="41">
        <v>2627.1223800000002</v>
      </c>
      <c r="CM15" s="41">
        <v>2374.2311800000002</v>
      </c>
      <c r="CN15" s="41">
        <v>2774.68497999998</v>
      </c>
      <c r="CO15" s="41">
        <v>-468.13788999999997</v>
      </c>
      <c r="CP15" s="41">
        <v>-534.63744999999994</v>
      </c>
      <c r="CQ15" s="41">
        <v>2545.3250900000003</v>
      </c>
      <c r="CR15" s="41">
        <v>5407.91</v>
      </c>
      <c r="CS15" s="41">
        <v>1861.6486399999999</v>
      </c>
      <c r="CT15" s="41">
        <v>2416.8531499999999</v>
      </c>
      <c r="CU15" s="41">
        <v>2076.830194439</v>
      </c>
      <c r="CV15" s="41">
        <v>1645.92193</v>
      </c>
      <c r="CW15" s="41">
        <v>-3539.7852499999999</v>
      </c>
      <c r="CX15" s="41">
        <v>8314.7660400000004</v>
      </c>
      <c r="CY15" s="41">
        <v>2711.96146</v>
      </c>
      <c r="CZ15" s="41">
        <v>3527.9352200000003</v>
      </c>
      <c r="DA15" s="41">
        <v>12653.50138</v>
      </c>
      <c r="DB15" s="41">
        <v>10731.36102</v>
      </c>
      <c r="DC15" s="41">
        <v>771.33143999999993</v>
      </c>
      <c r="DD15" s="41">
        <v>-341.70483999999999</v>
      </c>
      <c r="DE15" s="41">
        <v>2027.4775100000002</v>
      </c>
      <c r="DF15" s="41">
        <v>5090.5665099999997</v>
      </c>
      <c r="DG15" s="41">
        <v>4484.9092799999999</v>
      </c>
      <c r="DH15" s="41">
        <v>4297.1427899999999</v>
      </c>
      <c r="DI15" s="41">
        <v>4947.6770700000006</v>
      </c>
      <c r="DJ15" s="41">
        <v>-239.02311999999995</v>
      </c>
      <c r="DK15" s="47">
        <v>-216.73457999999997</v>
      </c>
      <c r="DL15" s="41">
        <v>-1067.3019200000001</v>
      </c>
      <c r="DM15" s="41">
        <v>84.382069999999999</v>
      </c>
      <c r="DN15" s="41">
        <v>4485.9511400000001</v>
      </c>
      <c r="DO15" s="41">
        <v>-1845.1676500000003</v>
      </c>
      <c r="DP15" s="41">
        <v>2377.94569</v>
      </c>
      <c r="DQ15" s="41">
        <v>3152.2696100000003</v>
      </c>
      <c r="DR15" s="47">
        <v>7420.8994699999994</v>
      </c>
      <c r="DS15" s="41">
        <v>4449.8757299999997</v>
      </c>
      <c r="DT15" s="41">
        <v>3408.9340700000002</v>
      </c>
      <c r="DU15" s="41">
        <v>267.26616000000001</v>
      </c>
      <c r="DV15" s="41">
        <v>173.04300000000001</v>
      </c>
      <c r="DW15" s="41">
        <v>2042.2539999999999</v>
      </c>
      <c r="DX15" s="41">
        <v>3659.0659999999998</v>
      </c>
      <c r="DY15" s="41">
        <v>-1142.2760000000001</v>
      </c>
      <c r="DZ15" s="41">
        <v>2822.4409999999998</v>
      </c>
    </row>
    <row r="16" spans="1:130" s="11" customFormat="1" hidden="1">
      <c r="A16" s="31" t="s">
        <v>26</v>
      </c>
      <c r="B16" s="32">
        <v>39410.352960000004</v>
      </c>
      <c r="C16" s="32">
        <v>46061.340926719116</v>
      </c>
      <c r="D16" s="32">
        <v>45167.206495100058</v>
      </c>
      <c r="E16" s="32">
        <v>51577.739163041944</v>
      </c>
      <c r="F16" s="32">
        <v>51938.278805759779</v>
      </c>
      <c r="G16" s="32">
        <v>51675.033451634372</v>
      </c>
      <c r="H16" s="32">
        <v>48141.193260965149</v>
      </c>
      <c r="I16" s="32">
        <v>46891.630143627881</v>
      </c>
      <c r="J16" s="32">
        <v>47076.291845919623</v>
      </c>
      <c r="K16" s="32">
        <v>54702.806790547642</v>
      </c>
      <c r="L16" s="32">
        <v>57657.341093122712</v>
      </c>
      <c r="M16" s="32">
        <v>57222.539069999999</v>
      </c>
      <c r="N16" s="32">
        <v>54297.812720000002</v>
      </c>
      <c r="O16" s="32">
        <v>51494.591780000002</v>
      </c>
      <c r="P16" s="32">
        <v>50294.16863</v>
      </c>
      <c r="Q16" s="32">
        <v>47561.241000000002</v>
      </c>
      <c r="R16" s="32">
        <v>49984.891960000001</v>
      </c>
      <c r="S16" s="32">
        <v>47756.2575</v>
      </c>
      <c r="T16" s="32">
        <v>43123.490490000004</v>
      </c>
      <c r="U16" s="32">
        <v>42203.662599999996</v>
      </c>
      <c r="V16" s="32">
        <v>41265.499060000002</v>
      </c>
      <c r="W16" s="32">
        <v>55507.982340000002</v>
      </c>
      <c r="X16" s="32">
        <v>54946.675170000002</v>
      </c>
      <c r="Y16" s="32">
        <v>53901.018960000001</v>
      </c>
      <c r="Z16" s="32">
        <v>53293.828719999998</v>
      </c>
      <c r="AA16" s="32">
        <v>48082.929080000002</v>
      </c>
      <c r="AB16" s="32">
        <v>49467.779840000003</v>
      </c>
      <c r="AC16" s="32">
        <v>45231.539649999999</v>
      </c>
      <c r="AD16" s="32">
        <v>41023.896479999996</v>
      </c>
      <c r="AE16" s="32">
        <v>38005.018819999998</v>
      </c>
      <c r="AF16" s="32">
        <v>46408.941149999999</v>
      </c>
      <c r="AG16" s="32">
        <v>33900.924599999998</v>
      </c>
      <c r="AH16" s="32">
        <v>37589.527759999997</v>
      </c>
      <c r="AI16" s="32">
        <v>48497.057800000002</v>
      </c>
      <c r="AJ16" s="32">
        <v>46184.252759999996</v>
      </c>
      <c r="AK16" s="32">
        <v>57271.224999999991</v>
      </c>
      <c r="AL16" s="32">
        <v>52186.33296</v>
      </c>
      <c r="AM16" s="32">
        <v>49616.586630000005</v>
      </c>
      <c r="AN16" s="32">
        <v>47350.505440000008</v>
      </c>
      <c r="AO16" s="32">
        <v>48642.336049999998</v>
      </c>
      <c r="AP16" s="32">
        <v>44669.821020000003</v>
      </c>
      <c r="AQ16" s="32">
        <v>41640.08365</v>
      </c>
      <c r="AR16" s="32">
        <v>33250.189440000002</v>
      </c>
      <c r="AS16" s="32">
        <v>32738.795999999998</v>
      </c>
      <c r="AT16" s="32">
        <v>38499.268499999998</v>
      </c>
      <c r="AU16" s="32">
        <v>49643.399579999998</v>
      </c>
      <c r="AV16" s="32">
        <v>50649.777120000006</v>
      </c>
      <c r="AW16" s="32">
        <v>62029.651110000006</v>
      </c>
      <c r="AX16" s="32">
        <f>6760935*10.46/1000</f>
        <v>70719.380100000009</v>
      </c>
      <c r="AY16" s="32">
        <f>5956408*10.47/1000</f>
        <v>62363.591760000003</v>
      </c>
      <c r="AZ16" s="32">
        <f>6829137*10.44/1000</f>
        <v>71296.190279999995</v>
      </c>
      <c r="BA16" s="32">
        <f>6478660*10.49/1000</f>
        <v>67961.143400000001</v>
      </c>
      <c r="BB16" s="32">
        <f>5989629*10.51/1000</f>
        <v>62951.000789999998</v>
      </c>
      <c r="BC16" s="37">
        <f>5137528*10.56/1000</f>
        <v>54252.295680000003</v>
      </c>
      <c r="BD16" s="32">
        <f>5005188*10.56/1000</f>
        <v>52854.785280000004</v>
      </c>
      <c r="BE16" s="32">
        <f>5935464*10.59/1000</f>
        <v>62856.563759999997</v>
      </c>
      <c r="BF16" s="33">
        <f>5546029*10.56/1000</f>
        <v>58566.06624</v>
      </c>
      <c r="BG16" s="32">
        <f>5399412*10.51/1000</f>
        <v>56747.820119999997</v>
      </c>
      <c r="BH16" s="32">
        <f>5585412*10.49/1000</f>
        <v>58590.971880000005</v>
      </c>
      <c r="BI16" s="32">
        <f>6869713*10.5/1000</f>
        <v>72131.986499999999</v>
      </c>
      <c r="BJ16" s="32">
        <f>6378523*10.56/1000</f>
        <v>67357.202880000012</v>
      </c>
      <c r="BK16" s="32">
        <f>6567745*10.53/1000</f>
        <v>69158.354849999989</v>
      </c>
      <c r="BL16" s="32">
        <f>5283868*10.54/1000</f>
        <v>55691.968719999997</v>
      </c>
      <c r="BM16" s="32">
        <f>7594157*10.48/1000</f>
        <v>79586.765360000005</v>
      </c>
      <c r="BN16" s="32">
        <f>6792612*10.48/1000</f>
        <v>71186.573759999999</v>
      </c>
      <c r="BO16" s="38">
        <f>6425518*10.46/1000</f>
        <v>67210.918279999998</v>
      </c>
      <c r="BP16" s="38">
        <f>5950533*10.47/1000</f>
        <v>62302.080510000007</v>
      </c>
      <c r="BQ16" s="38">
        <f>6019812*10.43/1000</f>
        <v>62786.639159999999</v>
      </c>
      <c r="BR16" s="38">
        <f>5773288*10.43/1000</f>
        <v>60215.393839999997</v>
      </c>
      <c r="BS16" s="38">
        <f>5802228*10.46/1000</f>
        <v>60691.304880000003</v>
      </c>
      <c r="BT16" s="38">
        <f>6372383*10.46/1000</f>
        <v>66655.126180000007</v>
      </c>
      <c r="BU16" s="38">
        <f>6356448*10.45/1000</f>
        <v>66424.881599999993</v>
      </c>
      <c r="BV16" s="38">
        <f>5550626*10.47/1000</f>
        <v>58115.054220000005</v>
      </c>
      <c r="BW16" s="50">
        <f>6447109*10.47/1000</f>
        <v>67501.231230000005</v>
      </c>
      <c r="BX16" s="50">
        <f>5422478*10.46/1000</f>
        <v>56719.119880000006</v>
      </c>
      <c r="BY16" s="50">
        <f>5304774*10.54/1000</f>
        <v>55912.317959999993</v>
      </c>
      <c r="BZ16" s="51">
        <f>5790540*10.49/1000</f>
        <v>60742.764600000002</v>
      </c>
      <c r="CA16" s="50">
        <f>6510450*10.57/1000</f>
        <v>68815.4565</v>
      </c>
      <c r="CB16" s="50">
        <f>5438623*10.66/1000</f>
        <v>57975.72118</v>
      </c>
      <c r="CC16" s="50">
        <f>5114690*10.66/1000</f>
        <v>54522.595399999998</v>
      </c>
      <c r="CD16" s="50">
        <f>5747258*10.65/1000</f>
        <v>61208.297700000003</v>
      </c>
      <c r="CE16" s="50">
        <f>5487036*10.7/1000</f>
        <v>58711.285199999998</v>
      </c>
      <c r="CF16" s="50">
        <f>5521421*10.68/1000</f>
        <v>58968.776279999998</v>
      </c>
      <c r="CG16" s="50">
        <f>5835134*10.59/1000</f>
        <v>61794.069060000002</v>
      </c>
      <c r="CH16" s="50">
        <f>5760110*10.75/1000</f>
        <v>61921.182500000003</v>
      </c>
      <c r="CI16" s="50">
        <f>6266797*10.57/1000</f>
        <v>66240.044290000005</v>
      </c>
      <c r="CJ16" s="50">
        <f>5475889*10.73/1000</f>
        <v>58756.288970000001</v>
      </c>
      <c r="CK16" s="50">
        <f>5258382*10.59/1000</f>
        <v>55686.265380000004</v>
      </c>
      <c r="CL16" s="50">
        <f>4768216*10.8/1000</f>
        <v>51496.732800000005</v>
      </c>
      <c r="CM16" s="50">
        <f>4993574*10.86/1000</f>
        <v>54230.213640000002</v>
      </c>
      <c r="CN16" s="50">
        <f>4124565*10.89/1000</f>
        <v>44916.512849999999</v>
      </c>
      <c r="CO16" s="50">
        <f>4844775*10.79/1000</f>
        <v>52275.122249999993</v>
      </c>
      <c r="CP16" s="50">
        <f>5416849*10.79/1000</f>
        <v>58447.800709999996</v>
      </c>
      <c r="CQ16" s="50">
        <f>5830589*10.57/1000</f>
        <v>61629.325730000004</v>
      </c>
      <c r="CR16" s="50">
        <f>5995998*10.63/1000</f>
        <v>63737.458740000002</v>
      </c>
      <c r="CS16" s="50">
        <f>6130543*10.67/1000</f>
        <v>65412.893810000001</v>
      </c>
      <c r="CT16" s="50">
        <f>6476987*10.68/1000</f>
        <v>69174.221160000001</v>
      </c>
      <c r="CU16" s="50">
        <f>6256126*10.71/1000</f>
        <v>67003.109460000007</v>
      </c>
      <c r="CV16" s="50">
        <f>6460219*10.73/1000</f>
        <v>69318.149870000008</v>
      </c>
      <c r="CW16" s="50">
        <f>5998280*10.84/1000</f>
        <v>65021.355199999998</v>
      </c>
      <c r="CX16" s="50">
        <f>5994096*10.87/1000</f>
        <v>65155.823519999998</v>
      </c>
      <c r="CY16" s="50">
        <f>4610996*10.83/1000</f>
        <v>49937.08668</v>
      </c>
      <c r="CZ16" s="50">
        <f>5390125*10.72/1000</f>
        <v>57782.14</v>
      </c>
      <c r="DA16" s="50">
        <f>5938970*10.81/1000</f>
        <v>64200.265700000004</v>
      </c>
      <c r="DB16" s="50">
        <f>5790132*10.94/1000</f>
        <v>63344.04408</v>
      </c>
      <c r="DC16" s="50">
        <f>5386026*10.91/1000</f>
        <v>58761.543660000003</v>
      </c>
      <c r="DD16" s="50">
        <f>6129467*10.82/1000</f>
        <v>66320.832940000008</v>
      </c>
      <c r="DE16" s="50">
        <f>5992214 *10.79/1000</f>
        <v>64655.989059999993</v>
      </c>
      <c r="DF16" s="50">
        <f>6083903*10.78/1000</f>
        <v>65584.474340000001</v>
      </c>
      <c r="DG16" s="50">
        <f>6229759 *10.74/1000</f>
        <v>66907.61166000001</v>
      </c>
      <c r="DH16" s="50">
        <f>6046565 *10.72/1000</f>
        <v>64819.176800000001</v>
      </c>
      <c r="DI16" s="50">
        <f>5700412 *10.81/1000</f>
        <v>61621.453720000005</v>
      </c>
      <c r="DJ16" s="50">
        <f>5951014 *10.94/1000</f>
        <v>65104.093159999997</v>
      </c>
      <c r="DK16" s="51">
        <f>5576338 *10.64/1000</f>
        <v>59332.236320000004</v>
      </c>
      <c r="DL16" s="50">
        <f>5954423 *10.79/1000</f>
        <v>64248.224169999994</v>
      </c>
      <c r="DM16" s="50">
        <f>6026679 *10.68/1000</f>
        <v>64364.93172</v>
      </c>
      <c r="DN16" s="50">
        <f>5382913*10.59/1000</f>
        <v>57005.048670000004</v>
      </c>
      <c r="DO16" s="50">
        <f>5947135*10.55/1000</f>
        <v>62742.274250000009</v>
      </c>
      <c r="DP16" s="50">
        <f>6116999*10.75/1000</f>
        <v>65757.739249999999</v>
      </c>
      <c r="DQ16" s="50">
        <f>6102175*10.69/1000</f>
        <v>65232.250749999999</v>
      </c>
      <c r="DR16" s="48">
        <v>68754.356</v>
      </c>
      <c r="DS16" s="42">
        <v>80663.285999999993</v>
      </c>
      <c r="DT16" s="42">
        <v>66582.198000000004</v>
      </c>
      <c r="DU16" s="42">
        <v>60448.718000000001</v>
      </c>
      <c r="DV16" s="42">
        <v>68167.979000000007</v>
      </c>
      <c r="DW16" s="42"/>
      <c r="DX16" s="57"/>
    </row>
    <row r="17" spans="1:130" s="11" customFormat="1">
      <c r="A17" s="31" t="s">
        <v>80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7"/>
      <c r="BD17" s="32"/>
      <c r="BE17" s="32"/>
      <c r="BF17" s="33"/>
      <c r="BG17" s="32"/>
      <c r="BH17" s="32"/>
      <c r="BI17" s="32"/>
      <c r="BJ17" s="32"/>
      <c r="BK17" s="32"/>
      <c r="BL17" s="32"/>
      <c r="BM17" s="32"/>
      <c r="BN17" s="32"/>
      <c r="BO17" s="38"/>
      <c r="BP17" s="38"/>
      <c r="BQ17" s="38"/>
      <c r="BR17" s="38"/>
      <c r="BS17" s="38"/>
      <c r="BT17" s="38"/>
      <c r="BU17" s="38"/>
      <c r="BV17" s="38"/>
      <c r="BW17" s="50"/>
      <c r="BX17" s="50"/>
      <c r="BY17" s="50"/>
      <c r="BZ17" s="51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1"/>
      <c r="DL17" s="50"/>
      <c r="DM17" s="50"/>
      <c r="DN17" s="50"/>
      <c r="DO17" s="50"/>
      <c r="DP17" s="50"/>
      <c r="DQ17" s="50"/>
      <c r="DR17" s="42">
        <f>(DR18-65243.229)+(DR19-7577.842)</f>
        <v>4296.2150000000011</v>
      </c>
      <c r="DS17" s="42">
        <f t="shared" ref="DS17:DV17" si="136">(DS18-DR18)+(DS19-DR19)</f>
        <v>10769.809999999994</v>
      </c>
      <c r="DT17" s="42">
        <f t="shared" si="136"/>
        <v>-13670.571999999989</v>
      </c>
      <c r="DU17" s="42">
        <f t="shared" si="136"/>
        <v>-8464.3240000000042</v>
      </c>
      <c r="DV17" s="42">
        <f t="shared" si="136"/>
        <v>9207.5970000000052</v>
      </c>
      <c r="DW17" s="42">
        <f>(DW18-DV18)+(DW19-DV19)</f>
        <v>-2155.9850000000042</v>
      </c>
      <c r="DX17" s="42">
        <f>(DX18-DW18)+(DX19-DW19)</f>
        <v>-2276.8820000000051</v>
      </c>
      <c r="DY17" s="42">
        <f>(DY18-DX18)+(DY19-DX19)</f>
        <v>285.24200000000565</v>
      </c>
      <c r="DZ17" s="42">
        <f>(DZ18-DY18)+(DZ19-DY19)</f>
        <v>-9033.5550000000003</v>
      </c>
    </row>
    <row r="18" spans="1:130" s="68" customFormat="1" ht="17">
      <c r="A18" s="69" t="s">
        <v>78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36"/>
      <c r="BD18" s="29"/>
      <c r="BE18" s="29"/>
      <c r="BF18" s="30"/>
      <c r="BG18" s="29"/>
      <c r="BH18" s="29"/>
      <c r="BI18" s="29"/>
      <c r="BJ18" s="29"/>
      <c r="BK18" s="29"/>
      <c r="BL18" s="29"/>
      <c r="BM18" s="29"/>
      <c r="BN18" s="29"/>
      <c r="BO18" s="79"/>
      <c r="BP18" s="79"/>
      <c r="BQ18" s="79"/>
      <c r="BR18" s="79"/>
      <c r="BS18" s="79"/>
      <c r="BT18" s="79"/>
      <c r="BU18" s="79"/>
      <c r="BV18" s="79"/>
      <c r="BW18" s="80"/>
      <c r="BX18" s="80"/>
      <c r="BY18" s="80"/>
      <c r="BZ18" s="81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1"/>
      <c r="DL18" s="80"/>
      <c r="DM18" s="80"/>
      <c r="DN18" s="80"/>
      <c r="DO18" s="80"/>
      <c r="DP18" s="80"/>
      <c r="DQ18" s="80"/>
      <c r="DR18" s="47">
        <v>68754.356</v>
      </c>
      <c r="DS18" s="41">
        <v>80663.285999999993</v>
      </c>
      <c r="DT18" s="41">
        <v>66582.198000000004</v>
      </c>
      <c r="DU18" s="41">
        <v>60448.718000000001</v>
      </c>
      <c r="DV18" s="41">
        <v>68167.979000000007</v>
      </c>
      <c r="DW18" s="41">
        <v>67691.031000000003</v>
      </c>
      <c r="DX18" s="41">
        <v>62585.896999999997</v>
      </c>
      <c r="DY18" s="41">
        <v>62909.838000000003</v>
      </c>
      <c r="DZ18" s="41">
        <v>56840.154000000002</v>
      </c>
    </row>
    <row r="19" spans="1:130" s="68" customFormat="1" ht="17">
      <c r="A19" s="69" t="s">
        <v>79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36"/>
      <c r="BD19" s="29"/>
      <c r="BE19" s="29"/>
      <c r="BF19" s="30"/>
      <c r="BG19" s="29"/>
      <c r="BH19" s="29"/>
      <c r="BI19" s="29"/>
      <c r="BJ19" s="29"/>
      <c r="BK19" s="29"/>
      <c r="BL19" s="29"/>
      <c r="BM19" s="29"/>
      <c r="BN19" s="29"/>
      <c r="BO19" s="79"/>
      <c r="BP19" s="79"/>
      <c r="BQ19" s="79"/>
      <c r="BR19" s="79"/>
      <c r="BS19" s="79"/>
      <c r="BT19" s="79"/>
      <c r="BU19" s="79"/>
      <c r="BV19" s="79"/>
      <c r="BW19" s="80"/>
      <c r="BX19" s="80"/>
      <c r="BY19" s="80"/>
      <c r="BZ19" s="81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1"/>
      <c r="DL19" s="80"/>
      <c r="DM19" s="80"/>
      <c r="DN19" s="80"/>
      <c r="DO19" s="80"/>
      <c r="DP19" s="80"/>
      <c r="DQ19" s="80"/>
      <c r="DR19" s="47">
        <v>8362.93</v>
      </c>
      <c r="DS19" s="41">
        <v>7223.81</v>
      </c>
      <c r="DT19" s="41">
        <v>7634.326</v>
      </c>
      <c r="DU19" s="41">
        <v>5303.482</v>
      </c>
      <c r="DV19" s="41">
        <v>6791.8180000000002</v>
      </c>
      <c r="DW19" s="41">
        <v>5112.7809999999999</v>
      </c>
      <c r="DX19" s="41">
        <v>7941.0330000000004</v>
      </c>
      <c r="DY19" s="41">
        <v>7902.3339999999998</v>
      </c>
      <c r="DZ19" s="41">
        <v>4938.4629999999997</v>
      </c>
    </row>
    <row r="20" spans="1:130" ht="19.5" hidden="1">
      <c r="A20" s="28" t="s">
        <v>24</v>
      </c>
      <c r="B20" s="29">
        <v>-2241.4550399999998</v>
      </c>
      <c r="C20" s="29">
        <v>6688.3083767191129</v>
      </c>
      <c r="D20" s="29">
        <v>-850.47439282595258</v>
      </c>
      <c r="E20" s="29">
        <v>6453.3858050340068</v>
      </c>
      <c r="F20" s="29">
        <v>409.52135132471295</v>
      </c>
      <c r="G20" s="29">
        <v>-608.84226633103174</v>
      </c>
      <c r="H20" s="29">
        <v>-3436.2480595046713</v>
      </c>
      <c r="I20" s="29">
        <v>-885.20214658255713</v>
      </c>
      <c r="J20" s="29">
        <v>95.259166269574223</v>
      </c>
      <c r="K20" s="29">
        <v>7805.6825634516808</v>
      </c>
      <c r="L20" s="29">
        <v>3006.7814914867718</v>
      </c>
      <c r="M20" s="29">
        <v>-489.9237641295183</v>
      </c>
      <c r="N20" s="29">
        <v>-2979.3801600000038</v>
      </c>
      <c r="O20" s="29">
        <v>-2855.0318299999981</v>
      </c>
      <c r="P20" s="29">
        <v>-1200.4231499999985</v>
      </c>
      <c r="Q20" s="29">
        <v>-2780.8724999999999</v>
      </c>
      <c r="R20" s="29">
        <v>2468.9473800000028</v>
      </c>
      <c r="S20" s="29">
        <v>-2276.2845000000002</v>
      </c>
      <c r="T20" s="29">
        <v>-4496.3205600000019</v>
      </c>
      <c r="U20" s="29">
        <v>-837.45255000000452</v>
      </c>
      <c r="V20" s="29">
        <v>-1099.7086599999964</v>
      </c>
      <c r="W20" s="29">
        <v>14321.159160000005</v>
      </c>
      <c r="X20" s="29">
        <v>-561.30717000000175</v>
      </c>
      <c r="Y20" s="29">
        <v>-1098.1363200000003</v>
      </c>
      <c r="Z20" s="29">
        <v>-607.19024000000206</v>
      </c>
      <c r="AA20" s="29">
        <v>-5261.7525300000016</v>
      </c>
      <c r="AB20" s="29">
        <v>1430.6876799999998</v>
      </c>
      <c r="AC20" s="29">
        <v>-4094.6339499999954</v>
      </c>
      <c r="AD20" s="29">
        <v>-4164.3593999999985</v>
      </c>
      <c r="AE20" s="29">
        <v>-3097.4675000000002</v>
      </c>
      <c r="AF20" s="29">
        <v>8440.2560000000067</v>
      </c>
      <c r="AG20" s="29">
        <v>-12463.606079999998</v>
      </c>
      <c r="AH20" s="29">
        <v>3558.7145599999949</v>
      </c>
      <c r="AI20" s="29">
        <v>10979.265780000009</v>
      </c>
      <c r="AJ20" s="29">
        <v>-2220.0764399999975</v>
      </c>
      <c r="AK20" s="29">
        <v>11042.734449999996</v>
      </c>
      <c r="AL20" s="29">
        <v>-1663.2537300000042</v>
      </c>
      <c r="AM20" s="29">
        <v>-2569.7463299999981</v>
      </c>
      <c r="AN20" s="29">
        <v>-2313.4704799999968</v>
      </c>
      <c r="AO20" s="29">
        <v>1427.3759500000031</v>
      </c>
      <c r="AP20" s="29">
        <v>-3832.8719599999936</v>
      </c>
      <c r="AQ20" s="29">
        <v>-3158.3452999999972</v>
      </c>
      <c r="AR20" s="29">
        <v>-8509.4351200000019</v>
      </c>
      <c r="AS20" s="29">
        <v>-384.48431999999656</v>
      </c>
      <c r="AT20" s="29">
        <v>5572.3185000000003</v>
      </c>
      <c r="AU20" s="29">
        <v>10814.137350000001</v>
      </c>
      <c r="AV20" s="29">
        <v>1522.0313599999995</v>
      </c>
      <c r="AW20" s="29">
        <v>11428.203930000007</v>
      </c>
      <c r="AX20" s="29">
        <v>7386.1093400000009</v>
      </c>
      <c r="AY20" s="29">
        <v>-8281.9582399999999</v>
      </c>
      <c r="AZ20" s="29">
        <v>10976.562119999999</v>
      </c>
      <c r="BA20" s="29">
        <v>-3756.4892500000001</v>
      </c>
      <c r="BB20" s="29">
        <v>-4299.4194800000005</v>
      </c>
      <c r="BC20" s="29">
        <v>-9612.9686399999991</v>
      </c>
      <c r="BD20" s="29">
        <v>-1460.184</v>
      </c>
      <c r="BE20" s="29">
        <v>4200.1422599999996</v>
      </c>
      <c r="BF20" s="30">
        <v>1044.5204399999998</v>
      </c>
      <c r="BG20" s="29">
        <v>-992.89021000000002</v>
      </c>
      <c r="BH20" s="34">
        <v>807.34186999999997</v>
      </c>
      <c r="BI20" s="29">
        <v>14791.0245</v>
      </c>
      <c r="BJ20" s="29">
        <v>-5274.0758400000004</v>
      </c>
      <c r="BK20" s="29">
        <v>2218.4603999999999</v>
      </c>
      <c r="BL20" s="29">
        <v>-14247.866599999999</v>
      </c>
      <c r="BM20" s="29">
        <v>26109.148880000001</v>
      </c>
      <c r="BN20" s="29">
        <v>-8442.2450800000006</v>
      </c>
      <c r="BO20" s="29">
        <v>459.73791999999958</v>
      </c>
      <c r="BP20" s="29">
        <v>-10661.137140000001</v>
      </c>
      <c r="BQ20" s="29">
        <v>1212.95685</v>
      </c>
      <c r="BR20" s="29">
        <v>19.983880000000227</v>
      </c>
      <c r="BS20" s="29">
        <v>80.458320000000015</v>
      </c>
      <c r="BT20" s="29">
        <v>5129.2702999999992</v>
      </c>
      <c r="BU20" s="29">
        <v>806.66684999999995</v>
      </c>
      <c r="BV20" s="29">
        <v>-9759.4848600000005</v>
      </c>
      <c r="BW20" s="41">
        <v>9662.3860800000002</v>
      </c>
      <c r="BX20" s="41">
        <v>-12128.33862</v>
      </c>
      <c r="BY20" s="41">
        <v>-220.11735999999996</v>
      </c>
      <c r="BZ20" s="47">
        <v>5163.2094699999998</v>
      </c>
      <c r="CA20" s="41">
        <v>7677.7626099999998</v>
      </c>
      <c r="CB20" s="41">
        <v>-11993.20356</v>
      </c>
      <c r="CC20" s="41">
        <v>-3525.4858599999998</v>
      </c>
      <c r="CD20" s="41">
        <v>7113.7739999999994</v>
      </c>
      <c r="CE20" s="41">
        <v>-2667.3923</v>
      </c>
      <c r="CF20" s="41">
        <v>1202.90976</v>
      </c>
      <c r="CG20" s="41">
        <v>2364.6934500000002</v>
      </c>
      <c r="CH20" s="41">
        <v>-760.32704000000001</v>
      </c>
      <c r="CI20" s="41">
        <v>5102.6358300000002</v>
      </c>
      <c r="CJ20" s="41">
        <v>-7985.429180000001</v>
      </c>
      <c r="CK20" s="41">
        <v>-2471.89662</v>
      </c>
      <c r="CL20" s="41">
        <v>-5596.4443499999998</v>
      </c>
      <c r="CM20" s="41">
        <v>2812.9793399999999</v>
      </c>
      <c r="CN20" s="41">
        <v>-9785.7636299999995</v>
      </c>
      <c r="CO20" s="41">
        <v>7810.4278199999999</v>
      </c>
      <c r="CP20" s="41">
        <v>6535.9777599999998</v>
      </c>
      <c r="CQ20" s="41">
        <v>4373.2317999999996</v>
      </c>
      <c r="CR20" s="41">
        <v>-2679.5041000000001</v>
      </c>
      <c r="CS20" s="41">
        <v>1478.8086499999999</v>
      </c>
      <c r="CT20" s="41">
        <v>3700.0219200000001</v>
      </c>
      <c r="CU20" s="41">
        <v>-2365.7211900000002</v>
      </c>
      <c r="CV20" s="41">
        <v>2190.2183300000002</v>
      </c>
      <c r="CW20" s="41">
        <v>1974.7228000000005</v>
      </c>
      <c r="CX20" s="41">
        <v>2853.8750200000004</v>
      </c>
      <c r="CY20" s="41">
        <v>-14122.2117</v>
      </c>
      <c r="CZ20" s="41">
        <v>8657.0667599999997</v>
      </c>
      <c r="DA20" s="41">
        <v>6440.59692</v>
      </c>
      <c r="DB20" s="41">
        <v>-2083.5558199999996</v>
      </c>
      <c r="DC20" s="41">
        <v>-8188.5429999999997</v>
      </c>
      <c r="DD20" s="41">
        <v>8585.3454000000002</v>
      </c>
      <c r="DE20" s="54">
        <v>-2167.7865299999999</v>
      </c>
      <c r="DF20" s="41">
        <v>-65.27290000000005</v>
      </c>
      <c r="DG20" s="41">
        <v>2242.5961900000002</v>
      </c>
      <c r="DH20" s="41">
        <v>-415.55007999999998</v>
      </c>
      <c r="DI20" s="41">
        <v>-4357.19751</v>
      </c>
      <c r="DJ20" s="41">
        <v>1014.7178200000001</v>
      </c>
      <c r="DK20" s="47">
        <v>-3181.4983199999997</v>
      </c>
      <c r="DL20" s="41">
        <v>6809.9898099999991</v>
      </c>
      <c r="DM20" s="41">
        <v>-2482.1815200000001</v>
      </c>
      <c r="DN20" s="41">
        <v>-7873.4849699999995</v>
      </c>
      <c r="DO20" s="41">
        <v>8055.230950000001</v>
      </c>
      <c r="DP20" s="41">
        <v>900.47375</v>
      </c>
      <c r="DQ20" s="41">
        <v>873.81128999999987</v>
      </c>
      <c r="DR20" s="47">
        <v>4296.2150000000001</v>
      </c>
      <c r="DS20" s="41">
        <v>10769.810000000001</v>
      </c>
      <c r="DT20" s="41">
        <v>-13670.572</v>
      </c>
      <c r="DU20" s="41">
        <v>-8464.3240000000005</v>
      </c>
      <c r="DV20" s="41">
        <v>9207.5969999999998</v>
      </c>
      <c r="DW20" s="41">
        <v>9207.5969999999998</v>
      </c>
    </row>
    <row r="21" spans="1:130" s="11" customFormat="1">
      <c r="A21" s="31" t="s">
        <v>81</v>
      </c>
      <c r="B21" s="32">
        <v>19432.50144</v>
      </c>
      <c r="C21" s="32">
        <v>16971.70464</v>
      </c>
      <c r="D21" s="32">
        <v>10455.931200000001</v>
      </c>
      <c r="E21" s="32">
        <v>9417.988800000001</v>
      </c>
      <c r="F21" s="32">
        <v>5494.5580799999998</v>
      </c>
      <c r="G21" s="32">
        <v>5063.8579200000004</v>
      </c>
      <c r="H21" s="32">
        <v>0.17952000000000001</v>
      </c>
      <c r="I21" s="32">
        <v>0.31680000000000003</v>
      </c>
      <c r="J21" s="32">
        <v>4025.8944000000006</v>
      </c>
      <c r="K21" s="32">
        <v>7660.3507200000004</v>
      </c>
      <c r="L21" s="32">
        <v>14646.60384</v>
      </c>
      <c r="M21" s="32">
        <v>14911.733759999999</v>
      </c>
      <c r="N21" s="32">
        <v>17001.106640000002</v>
      </c>
      <c r="O21" s="32">
        <v>14993.18916</v>
      </c>
      <c r="P21" s="32">
        <v>13788.444130000002</v>
      </c>
      <c r="Q21" s="32">
        <v>8598.8029499999993</v>
      </c>
      <c r="R21" s="32">
        <v>4811.6350000000002</v>
      </c>
      <c r="S21" s="32">
        <v>2394.2710000000002</v>
      </c>
      <c r="T21" s="32">
        <v>3104.0790000000002</v>
      </c>
      <c r="U21" s="32">
        <v>2618.7147599999998</v>
      </c>
      <c r="V21" s="32">
        <v>4598.7823200000003</v>
      </c>
      <c r="W21" s="32">
        <v>7966.3342999999995</v>
      </c>
      <c r="X21" s="32">
        <v>11640.19441</v>
      </c>
      <c r="Y21" s="32">
        <v>16917.539840000001</v>
      </c>
      <c r="Z21" s="32">
        <v>14921.60857</v>
      </c>
      <c r="AA21" s="32">
        <v>17016.29999</v>
      </c>
      <c r="AB21" s="32">
        <v>16960.306260000001</v>
      </c>
      <c r="AC21" s="32">
        <v>5106.6899999999996</v>
      </c>
      <c r="AD21" s="32">
        <v>4571.0050610000008</v>
      </c>
      <c r="AE21" s="32">
        <v>105.709</v>
      </c>
      <c r="AF21" s="32">
        <v>4518.7151100000001</v>
      </c>
      <c r="AG21" s="32">
        <v>3009.7624500000002</v>
      </c>
      <c r="AH21" s="32">
        <v>4104.6369599999998</v>
      </c>
      <c r="AI21" s="32">
        <v>6134.0280000000002</v>
      </c>
      <c r="AJ21" s="32">
        <v>11112.092000000001</v>
      </c>
      <c r="AK21" s="32">
        <v>16226.966</v>
      </c>
      <c r="AL21" s="32">
        <v>16310.457</v>
      </c>
      <c r="AM21" s="32">
        <v>16071.964</v>
      </c>
      <c r="AN21" s="32">
        <v>11525.386</v>
      </c>
      <c r="AO21" s="32">
        <v>5457.9840000000004</v>
      </c>
      <c r="AP21" s="32">
        <v>6300.8540000000003</v>
      </c>
      <c r="AQ21" s="32">
        <v>4799.99</v>
      </c>
      <c r="AR21" s="32">
        <v>4568.0630000000001</v>
      </c>
      <c r="AS21" s="32">
        <v>3902.0549999999998</v>
      </c>
      <c r="AT21" s="32">
        <v>5555.0929999999998</v>
      </c>
      <c r="AU21" s="32">
        <v>6679</v>
      </c>
      <c r="AV21" s="32">
        <v>9962</v>
      </c>
      <c r="AW21" s="32">
        <v>3827</v>
      </c>
      <c r="AX21" s="32">
        <v>41818</v>
      </c>
      <c r="AY21" s="32">
        <v>39806</v>
      </c>
      <c r="AZ21" s="32">
        <v>34303</v>
      </c>
      <c r="BA21" s="32">
        <v>37977</v>
      </c>
      <c r="BB21" s="32">
        <v>4611</v>
      </c>
      <c r="BC21" s="37">
        <v>20199.220788655999</v>
      </c>
      <c r="BD21" s="32">
        <v>18438</v>
      </c>
      <c r="BE21" s="32">
        <v>2443</v>
      </c>
      <c r="BF21" s="33">
        <v>4745</v>
      </c>
      <c r="BG21" s="32">
        <v>2071.2217691030896</v>
      </c>
      <c r="BH21" s="32">
        <v>9336.3304881000004</v>
      </c>
      <c r="BI21" s="32">
        <v>9660.2101208400036</v>
      </c>
      <c r="BJ21" s="32">
        <v>13693</v>
      </c>
      <c r="BK21" s="32">
        <v>15644</v>
      </c>
      <c r="BL21" s="32">
        <v>7411</v>
      </c>
      <c r="BM21" s="32">
        <v>7438</v>
      </c>
      <c r="BN21" s="32">
        <v>1680</v>
      </c>
      <c r="BO21" s="32">
        <v>115</v>
      </c>
      <c r="BP21" s="32">
        <v>1</v>
      </c>
      <c r="BQ21" s="32">
        <v>2170</v>
      </c>
      <c r="BR21" s="32">
        <v>4243</v>
      </c>
      <c r="BS21" s="32">
        <v>11050</v>
      </c>
      <c r="BT21" s="32">
        <v>25512</v>
      </c>
      <c r="BU21" s="32">
        <v>11312</v>
      </c>
      <c r="BV21" s="32">
        <v>34195</v>
      </c>
      <c r="BW21" s="42">
        <v>5309</v>
      </c>
      <c r="BX21" s="42">
        <v>8261</v>
      </c>
      <c r="BY21" s="42">
        <v>13096</v>
      </c>
      <c r="BZ21" s="48">
        <v>775</v>
      </c>
      <c r="CA21" s="42">
        <v>21136</v>
      </c>
      <c r="CB21" s="42">
        <v>18732</v>
      </c>
      <c r="CC21" s="42">
        <v>19034</v>
      </c>
      <c r="CD21" s="42">
        <v>19852</v>
      </c>
      <c r="CE21" s="42">
        <v>15286</v>
      </c>
      <c r="CF21" s="42">
        <v>19026</v>
      </c>
      <c r="CG21" s="42">
        <v>21424</v>
      </c>
      <c r="CH21" s="42">
        <v>20238</v>
      </c>
      <c r="CI21" s="42">
        <v>36013</v>
      </c>
      <c r="CJ21" s="42">
        <v>4604</v>
      </c>
      <c r="CK21" s="42">
        <v>2530</v>
      </c>
      <c r="CL21" s="42">
        <v>17914</v>
      </c>
      <c r="CM21" s="42">
        <v>1633</v>
      </c>
      <c r="CN21" s="42">
        <v>143</v>
      </c>
      <c r="CO21" s="42">
        <v>10357</v>
      </c>
      <c r="CP21" s="42">
        <v>15347</v>
      </c>
      <c r="CQ21" s="42">
        <v>5112</v>
      </c>
      <c r="CR21" s="42">
        <v>533</v>
      </c>
      <c r="CS21" s="42">
        <v>10351</v>
      </c>
      <c r="CT21" s="42">
        <v>12246</v>
      </c>
      <c r="CU21" s="42">
        <v>10215</v>
      </c>
      <c r="CV21" s="42">
        <v>7410</v>
      </c>
      <c r="CW21" s="42">
        <v>4088</v>
      </c>
      <c r="CX21" s="42">
        <v>29505</v>
      </c>
      <c r="CY21" s="42">
        <v>1032</v>
      </c>
      <c r="CZ21" s="42">
        <v>737</v>
      </c>
      <c r="DA21" s="42">
        <v>16359</v>
      </c>
      <c r="DB21" s="42">
        <v>5</v>
      </c>
      <c r="DC21" s="42">
        <v>11</v>
      </c>
      <c r="DD21" s="42">
        <v>229</v>
      </c>
      <c r="DE21" s="55">
        <v>1</v>
      </c>
      <c r="DF21" s="42">
        <v>33346</v>
      </c>
      <c r="DG21" s="42">
        <v>2432.5450000000001</v>
      </c>
      <c r="DH21" s="42">
        <v>15098</v>
      </c>
      <c r="DI21" s="42">
        <v>6117</v>
      </c>
      <c r="DJ21" s="42">
        <v>293</v>
      </c>
      <c r="DK21" s="48">
        <v>236</v>
      </c>
      <c r="DL21" s="42">
        <v>32598</v>
      </c>
      <c r="DM21" s="42">
        <v>8743</v>
      </c>
      <c r="DN21" s="42">
        <v>12694</v>
      </c>
      <c r="DO21" s="42">
        <v>2467</v>
      </c>
      <c r="DP21" s="42">
        <v>10548</v>
      </c>
      <c r="DQ21" s="42">
        <v>72227</v>
      </c>
      <c r="DR21" s="48">
        <v>48518</v>
      </c>
      <c r="DS21" s="42">
        <v>1913</v>
      </c>
      <c r="DT21" s="42">
        <v>405.89800000000002</v>
      </c>
      <c r="DU21" s="42">
        <v>1358</v>
      </c>
      <c r="DV21" s="42">
        <v>27839.254000000001</v>
      </c>
      <c r="DW21" s="42">
        <v>1306.885</v>
      </c>
      <c r="DX21" s="42">
        <v>440.25200000000001</v>
      </c>
      <c r="DY21" s="42">
        <v>1145.96</v>
      </c>
      <c r="DZ21" s="42">
        <v>7642.5889999999999</v>
      </c>
    </row>
    <row r="22" spans="1:130" s="11" customFormat="1">
      <c r="A22" s="31" t="s">
        <v>82</v>
      </c>
      <c r="B22" s="32">
        <v>52498.649279999998</v>
      </c>
      <c r="C22" s="32">
        <v>27007.073280000001</v>
      </c>
      <c r="D22" s="32">
        <v>29682.523200000003</v>
      </c>
      <c r="E22" s="32">
        <v>18408.709440000002</v>
      </c>
      <c r="F22" s="32">
        <v>10844.106240000001</v>
      </c>
      <c r="G22" s="32">
        <v>11591.236800000001</v>
      </c>
      <c r="H22" s="32">
        <v>8914.0867200000012</v>
      </c>
      <c r="I22" s="32">
        <v>15526.103999999999</v>
      </c>
      <c r="J22" s="32">
        <v>15608.714880000001</v>
      </c>
      <c r="K22" s="32">
        <v>20203.170240000003</v>
      </c>
      <c r="L22" s="32">
        <v>27277.979520000001</v>
      </c>
      <c r="M22" s="32">
        <v>27800.55168</v>
      </c>
      <c r="N22" s="32">
        <v>41631.705679999999</v>
      </c>
      <c r="O22" s="32">
        <v>38990.973340000004</v>
      </c>
      <c r="P22" s="32">
        <v>29922.263440000002</v>
      </c>
      <c r="Q22" s="32">
        <v>18628.252683332998</v>
      </c>
      <c r="R22" s="32">
        <v>15173.162</v>
      </c>
      <c r="S22" s="32">
        <v>11328.698</v>
      </c>
      <c r="T22" s="32">
        <v>9077.86</v>
      </c>
      <c r="U22" s="32">
        <v>8517.6939199999997</v>
      </c>
      <c r="V22" s="32">
        <v>11696.941860000001</v>
      </c>
      <c r="W22" s="32">
        <v>22997.808080000003</v>
      </c>
      <c r="X22" s="32">
        <v>22793.335280000003</v>
      </c>
      <c r="Y22" s="32">
        <v>22525.366959999999</v>
      </c>
      <c r="Z22" s="32">
        <v>32052.949649999999</v>
      </c>
      <c r="AA22" s="32">
        <v>48615.652679999999</v>
      </c>
      <c r="AB22" s="32">
        <v>38586.846810000003</v>
      </c>
      <c r="AC22" s="32">
        <v>24313.984</v>
      </c>
      <c r="AD22" s="32">
        <v>13561.786871</v>
      </c>
      <c r="AE22" s="32">
        <v>10456.438</v>
      </c>
      <c r="AF22" s="32">
        <v>14389.358</v>
      </c>
      <c r="AG22" s="32">
        <v>8360.597960000001</v>
      </c>
      <c r="AH22" s="32">
        <v>15001.672759999999</v>
      </c>
      <c r="AI22" s="32">
        <v>25431.322</v>
      </c>
      <c r="AJ22" s="32">
        <v>27104.629000000001</v>
      </c>
      <c r="AK22" s="32">
        <v>30278.245999999999</v>
      </c>
      <c r="AL22" s="32">
        <v>35490.817999999999</v>
      </c>
      <c r="AM22" s="32">
        <v>26144.55</v>
      </c>
      <c r="AN22" s="32">
        <v>26280.185000000001</v>
      </c>
      <c r="AO22" s="32">
        <v>19868.008000000002</v>
      </c>
      <c r="AP22" s="32">
        <v>13679.312</v>
      </c>
      <c r="AQ22" s="32">
        <v>8474.3160000000007</v>
      </c>
      <c r="AR22" s="32">
        <v>6653.8879999999999</v>
      </c>
      <c r="AS22" s="32">
        <v>12480.276</v>
      </c>
      <c r="AT22" s="32">
        <v>13652.499</v>
      </c>
      <c r="AU22" s="32">
        <v>18934</v>
      </c>
      <c r="AV22" s="32">
        <v>24934</v>
      </c>
      <c r="AW22" s="32">
        <v>31130</v>
      </c>
      <c r="AX22" s="32">
        <v>51553</v>
      </c>
      <c r="AY22" s="32">
        <v>54687</v>
      </c>
      <c r="AZ22" s="32">
        <v>54435</v>
      </c>
      <c r="BA22" s="32">
        <v>47959</v>
      </c>
      <c r="BB22" s="32">
        <v>25236</v>
      </c>
      <c r="BC22" s="37">
        <v>33283.200377699999</v>
      </c>
      <c r="BD22" s="32">
        <v>28667</v>
      </c>
      <c r="BE22" s="32">
        <v>17066</v>
      </c>
      <c r="BF22" s="33">
        <v>12083</v>
      </c>
      <c r="BG22" s="32">
        <v>31137.439002472191</v>
      </c>
      <c r="BH22" s="32">
        <v>19538.175158540005</v>
      </c>
      <c r="BI22" s="32">
        <v>30353.525922330005</v>
      </c>
      <c r="BJ22" s="32">
        <v>36550</v>
      </c>
      <c r="BK22" s="32">
        <v>39307</v>
      </c>
      <c r="BL22" s="32">
        <v>30802</v>
      </c>
      <c r="BM22" s="32">
        <v>23703</v>
      </c>
      <c r="BN22" s="32">
        <v>17939</v>
      </c>
      <c r="BO22" s="32">
        <v>12233</v>
      </c>
      <c r="BP22" s="37">
        <v>12841</v>
      </c>
      <c r="BQ22" s="32">
        <v>11434</v>
      </c>
      <c r="BR22" s="32">
        <v>17888</v>
      </c>
      <c r="BS22" s="32">
        <v>28586</v>
      </c>
      <c r="BT22" s="32">
        <v>65009</v>
      </c>
      <c r="BU22" s="32">
        <v>70327</v>
      </c>
      <c r="BV22" s="32">
        <v>78905</v>
      </c>
      <c r="BW22" s="42">
        <v>79941</v>
      </c>
      <c r="BX22" s="42">
        <v>21492</v>
      </c>
      <c r="BY22" s="42">
        <v>33251</v>
      </c>
      <c r="BZ22" s="48">
        <v>36403</v>
      </c>
      <c r="CA22" s="42">
        <v>41529</v>
      </c>
      <c r="CB22" s="42">
        <v>32447</v>
      </c>
      <c r="CC22" s="42">
        <v>34913</v>
      </c>
      <c r="CD22" s="42">
        <v>33842</v>
      </c>
      <c r="CE22" s="42">
        <v>27091</v>
      </c>
      <c r="CF22" s="42">
        <v>54904</v>
      </c>
      <c r="CG22" s="42">
        <v>67113</v>
      </c>
      <c r="CH22" s="42">
        <v>80262</v>
      </c>
      <c r="CI22" s="42">
        <v>80495</v>
      </c>
      <c r="CJ22" s="42">
        <v>79834</v>
      </c>
      <c r="CK22" s="42">
        <v>54580</v>
      </c>
      <c r="CL22" s="42">
        <v>79833</v>
      </c>
      <c r="CM22" s="42">
        <v>56940</v>
      </c>
      <c r="CN22" s="42">
        <v>7309</v>
      </c>
      <c r="CO22" s="42">
        <v>41525</v>
      </c>
      <c r="CP22" s="42">
        <v>53342</v>
      </c>
      <c r="CQ22" s="42">
        <v>39938</v>
      </c>
      <c r="CR22" s="42">
        <v>22696</v>
      </c>
      <c r="CS22" s="42">
        <v>29055</v>
      </c>
      <c r="CT22" s="42">
        <v>47414</v>
      </c>
      <c r="CU22" s="42">
        <v>26918</v>
      </c>
      <c r="CV22" s="42">
        <v>19101</v>
      </c>
      <c r="CW22" s="42">
        <v>59914</v>
      </c>
      <c r="CX22" s="42">
        <v>68723</v>
      </c>
      <c r="CY22" s="42">
        <v>72681</v>
      </c>
      <c r="CZ22" s="42">
        <v>13674</v>
      </c>
      <c r="DA22" s="42">
        <v>73233</v>
      </c>
      <c r="DB22" s="42">
        <v>54464</v>
      </c>
      <c r="DC22" s="42">
        <v>31734</v>
      </c>
      <c r="DD22" s="42">
        <v>42002</v>
      </c>
      <c r="DE22" s="42">
        <v>74409</v>
      </c>
      <c r="DF22" s="42">
        <v>84416</v>
      </c>
      <c r="DG22" s="42">
        <v>81575.815000000002</v>
      </c>
      <c r="DH22" s="42">
        <v>51599</v>
      </c>
      <c r="DI22" s="42">
        <v>58268</v>
      </c>
      <c r="DJ22" s="42">
        <v>48514</v>
      </c>
      <c r="DK22" s="48">
        <v>6263</v>
      </c>
      <c r="DL22" s="42">
        <v>75996</v>
      </c>
      <c r="DM22" s="42">
        <v>82432</v>
      </c>
      <c r="DN22" s="42">
        <v>31077</v>
      </c>
      <c r="DO22" s="42">
        <v>56398</v>
      </c>
      <c r="DP22" s="42">
        <v>78294</v>
      </c>
      <c r="DQ22" s="42">
        <v>100246</v>
      </c>
      <c r="DR22" s="48">
        <v>102653</v>
      </c>
      <c r="DS22" s="42">
        <v>102843</v>
      </c>
      <c r="DT22" s="42">
        <v>50506.531000000003</v>
      </c>
      <c r="DU22" s="42">
        <v>67454</v>
      </c>
      <c r="DV22" s="42">
        <v>66934.853000000003</v>
      </c>
      <c r="DW22" s="42">
        <v>35383.576999999997</v>
      </c>
      <c r="DX22" s="42">
        <v>13624.587</v>
      </c>
      <c r="DY22" s="42">
        <v>13624.587</v>
      </c>
      <c r="DZ22" s="42">
        <v>27857.006000000001</v>
      </c>
    </row>
    <row r="23" spans="1:130" s="11" customFormat="1" hidden="1">
      <c r="A23" s="31" t="s">
        <v>20</v>
      </c>
      <c r="B23" s="59">
        <v>248245.77888000003</v>
      </c>
      <c r="C23" s="59">
        <v>803540.81330000004</v>
      </c>
      <c r="D23" s="59">
        <v>877484.69117999997</v>
      </c>
      <c r="E23" s="59">
        <v>605705.25951</v>
      </c>
      <c r="F23" s="59">
        <v>428756.10768000002</v>
      </c>
      <c r="G23" s="59">
        <v>2247628.3246500003</v>
      </c>
      <c r="H23" s="59">
        <v>3963186.7352700001</v>
      </c>
      <c r="I23" s="59">
        <v>4586425.8833599994</v>
      </c>
      <c r="J23" s="59">
        <v>4540064.7015899997</v>
      </c>
      <c r="K23" s="59">
        <v>632547.01835999999</v>
      </c>
      <c r="L23" s="59">
        <v>5295.80386</v>
      </c>
      <c r="M23" s="59">
        <v>0</v>
      </c>
      <c r="N23" s="59">
        <v>0</v>
      </c>
      <c r="O23" s="59">
        <v>9612.9415900000004</v>
      </c>
      <c r="P23" s="59">
        <v>0</v>
      </c>
      <c r="Q23" s="59">
        <v>0</v>
      </c>
      <c r="R23" s="59">
        <v>594583.77391999995</v>
      </c>
      <c r="S23" s="59">
        <v>555865.26450000005</v>
      </c>
      <c r="T23" s="59">
        <v>1035329.4155700001</v>
      </c>
      <c r="U23" s="59">
        <v>2294567.1308999998</v>
      </c>
      <c r="V23" s="59">
        <v>4488644.4917700002</v>
      </c>
      <c r="W23" s="59">
        <v>3651088.6628999999</v>
      </c>
      <c r="X23" s="59">
        <v>210387.46758000003</v>
      </c>
      <c r="Y23" s="59">
        <v>142421.74328</v>
      </c>
      <c r="Z23" s="59">
        <v>210390.88368</v>
      </c>
      <c r="AA23" s="59">
        <v>62640.017469999999</v>
      </c>
      <c r="AB23" s="59">
        <v>408084.93296000006</v>
      </c>
      <c r="AC23" s="59">
        <v>5825.676449999999</v>
      </c>
      <c r="AD23" s="59">
        <v>54404.009279999991</v>
      </c>
      <c r="AE23" s="59">
        <v>489335.94394000008</v>
      </c>
      <c r="AF23" s="59">
        <v>2943467.0496</v>
      </c>
      <c r="AG23" s="59">
        <v>3800136.7770399996</v>
      </c>
      <c r="AH23" s="59">
        <v>4191078.3702200004</v>
      </c>
      <c r="AI23" s="59">
        <v>1987766.7171400001</v>
      </c>
      <c r="AJ23" s="59">
        <v>596440.84355999995</v>
      </c>
      <c r="AK23" s="59">
        <v>404938.82714999997</v>
      </c>
      <c r="AL23" s="59">
        <v>211260.45618000001</v>
      </c>
      <c r="AM23" s="59">
        <v>803456.47146000003</v>
      </c>
      <c r="AN23" s="59">
        <v>211488.17112000001</v>
      </c>
      <c r="AO23" s="59">
        <v>445.45214999999996</v>
      </c>
      <c r="AP23" s="59">
        <v>2730090.08134</v>
      </c>
      <c r="AQ23" s="59">
        <v>2841333.6007499998</v>
      </c>
      <c r="AR23" s="59">
        <v>4114744.1581600001</v>
      </c>
      <c r="AS23" s="59">
        <v>3307597.1165200002</v>
      </c>
      <c r="AT23" s="59">
        <v>3173471.3315000003</v>
      </c>
      <c r="AU23" s="59">
        <v>1243345.9323399998</v>
      </c>
      <c r="AV23" s="59">
        <v>277465.43156</v>
      </c>
      <c r="AW23" s="59">
        <v>265492.40727000003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59">
        <v>0</v>
      </c>
      <c r="BE23" s="59">
        <v>0</v>
      </c>
      <c r="BF23" s="61">
        <v>0</v>
      </c>
      <c r="BG23" s="59">
        <v>0</v>
      </c>
      <c r="BH23" s="62">
        <v>0</v>
      </c>
      <c r="BI23" s="59">
        <v>0</v>
      </c>
      <c r="BJ23" s="59">
        <v>0</v>
      </c>
      <c r="BK23" s="59">
        <v>0</v>
      </c>
      <c r="BL23" s="59">
        <v>0</v>
      </c>
      <c r="BM23" s="59">
        <v>0</v>
      </c>
      <c r="BN23" s="59">
        <v>0</v>
      </c>
      <c r="BO23" s="59">
        <v>0</v>
      </c>
      <c r="BP23" s="59">
        <v>0</v>
      </c>
      <c r="BQ23" s="59">
        <v>0</v>
      </c>
      <c r="BR23" s="59">
        <v>0</v>
      </c>
      <c r="BS23" s="59">
        <v>0</v>
      </c>
      <c r="BT23" s="59">
        <v>0</v>
      </c>
      <c r="BU23" s="59">
        <v>0</v>
      </c>
      <c r="BV23" s="59">
        <v>0</v>
      </c>
      <c r="BW23" s="63">
        <v>0</v>
      </c>
      <c r="BX23" s="63">
        <v>0</v>
      </c>
      <c r="BY23" s="64">
        <v>0</v>
      </c>
      <c r="BZ23" s="65">
        <v>0</v>
      </c>
      <c r="CA23" s="63">
        <v>0</v>
      </c>
      <c r="CB23" s="63">
        <v>0</v>
      </c>
      <c r="CC23" s="63">
        <v>0</v>
      </c>
      <c r="CD23" s="63">
        <v>0</v>
      </c>
      <c r="CE23" s="63">
        <v>0</v>
      </c>
      <c r="CF23" s="41">
        <v>0</v>
      </c>
      <c r="CG23" s="63">
        <v>0</v>
      </c>
      <c r="CH23" s="63">
        <v>0</v>
      </c>
      <c r="CI23" s="63">
        <v>0</v>
      </c>
      <c r="CJ23" s="63">
        <v>0</v>
      </c>
      <c r="CK23" s="63">
        <v>0</v>
      </c>
      <c r="CL23" s="63">
        <v>0</v>
      </c>
      <c r="CM23" s="63">
        <v>0</v>
      </c>
      <c r="CN23" s="63">
        <v>0</v>
      </c>
      <c r="CO23" s="63">
        <v>0</v>
      </c>
      <c r="CP23" s="63">
        <v>0</v>
      </c>
      <c r="CQ23" s="63">
        <v>0</v>
      </c>
      <c r="CR23" s="63">
        <v>0</v>
      </c>
      <c r="CS23" s="63">
        <v>0</v>
      </c>
      <c r="CT23" s="63">
        <v>0</v>
      </c>
      <c r="CU23" s="63">
        <v>0</v>
      </c>
      <c r="CV23" s="63">
        <v>0</v>
      </c>
      <c r="CW23" s="63">
        <v>0</v>
      </c>
      <c r="CX23" s="63">
        <v>0</v>
      </c>
      <c r="CY23" s="63">
        <v>0</v>
      </c>
      <c r="CZ23" s="63">
        <v>0</v>
      </c>
      <c r="DA23" s="63">
        <v>0</v>
      </c>
      <c r="DB23" s="63">
        <v>0</v>
      </c>
      <c r="DC23" s="63">
        <v>0</v>
      </c>
      <c r="DD23" s="63">
        <v>0</v>
      </c>
      <c r="DE23" s="63">
        <v>0</v>
      </c>
      <c r="DF23" s="63">
        <v>0</v>
      </c>
      <c r="DG23" s="63">
        <v>0</v>
      </c>
      <c r="DH23" s="63">
        <v>0</v>
      </c>
      <c r="DI23" s="63">
        <v>0</v>
      </c>
      <c r="DJ23" s="63">
        <v>0</v>
      </c>
      <c r="DK23" s="65">
        <v>0</v>
      </c>
      <c r="DL23" s="63">
        <v>0</v>
      </c>
      <c r="DM23" s="63">
        <v>0</v>
      </c>
      <c r="DN23" s="63">
        <v>0</v>
      </c>
      <c r="DO23" s="63">
        <v>0</v>
      </c>
      <c r="DP23" s="63">
        <v>0</v>
      </c>
      <c r="DQ23" s="63">
        <v>0</v>
      </c>
      <c r="DR23" s="65">
        <v>0</v>
      </c>
      <c r="DS23" s="63">
        <v>0</v>
      </c>
      <c r="DT23" s="63">
        <v>0</v>
      </c>
      <c r="DU23" s="63">
        <v>0</v>
      </c>
      <c r="DV23" s="63">
        <v>0</v>
      </c>
      <c r="DW23" s="63">
        <v>0</v>
      </c>
    </row>
    <row r="24" spans="1:130" s="76" customFormat="1">
      <c r="A24" s="7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60"/>
      <c r="AY24" s="60"/>
      <c r="AZ24" s="60"/>
      <c r="BA24" s="60"/>
      <c r="BB24" s="60"/>
      <c r="BC24" s="60"/>
      <c r="BD24" s="59"/>
      <c r="BE24" s="59"/>
      <c r="BF24" s="61"/>
      <c r="BG24" s="59"/>
      <c r="BH24" s="62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63"/>
      <c r="BX24" s="63"/>
      <c r="BY24" s="64"/>
      <c r="BZ24" s="65"/>
      <c r="CA24" s="63"/>
      <c r="CB24" s="63"/>
      <c r="CC24" s="63"/>
      <c r="CD24" s="63"/>
      <c r="CE24" s="63"/>
      <c r="CF24" s="41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5"/>
      <c r="DL24" s="63"/>
      <c r="DM24" s="63"/>
      <c r="DN24" s="63"/>
      <c r="DO24" s="63"/>
      <c r="DP24" s="63"/>
      <c r="DQ24" s="63"/>
      <c r="DR24" s="65"/>
      <c r="DS24" s="63"/>
      <c r="DT24" s="63"/>
      <c r="DU24" s="63"/>
      <c r="DV24" s="63"/>
      <c r="DW24" s="63"/>
    </row>
    <row r="25" spans="1:130" ht="20.5" hidden="1" customHeight="1">
      <c r="A25" s="28" t="s">
        <v>27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77">
        <f t="shared" ref="N25:AS25" si="137">N2/B2-1</f>
        <v>-0.28598500179806963</v>
      </c>
      <c r="O25" s="77">
        <f t="shared" si="137"/>
        <v>4.0516758797212171E-2</v>
      </c>
      <c r="P25" s="77">
        <f t="shared" si="137"/>
        <v>-3.7273894462553581E-2</v>
      </c>
      <c r="Q25" s="77">
        <f t="shared" si="137"/>
        <v>4.8336957107993461E-2</v>
      </c>
      <c r="R25" s="77">
        <f t="shared" si="137"/>
        <v>0.28542162341447752</v>
      </c>
      <c r="S25" s="77">
        <f t="shared" si="137"/>
        <v>-4.1468318659507841E-2</v>
      </c>
      <c r="T25" s="77">
        <f t="shared" si="137"/>
        <v>9.0107171433269295E-2</v>
      </c>
      <c r="U25" s="77">
        <f t="shared" si="137"/>
        <v>0.12019618570218071</v>
      </c>
      <c r="V25" s="77">
        <f t="shared" si="137"/>
        <v>0.19254601019719031</v>
      </c>
      <c r="W25" s="77">
        <f t="shared" si="137"/>
        <v>-5.293497782865475E-2</v>
      </c>
      <c r="X25" s="77">
        <f t="shared" si="137"/>
        <v>-0.14790992221013277</v>
      </c>
      <c r="Y25" s="77">
        <f t="shared" si="137"/>
        <v>-6.1384956796255552E-2</v>
      </c>
      <c r="Z25" s="77">
        <f t="shared" si="137"/>
        <v>-4.8855024055258101E-2</v>
      </c>
      <c r="AA25" s="77">
        <f t="shared" si="137"/>
        <v>0.14901499628383474</v>
      </c>
      <c r="AB25" s="77">
        <f t="shared" si="137"/>
        <v>0.26176129299095052</v>
      </c>
      <c r="AC25" s="77">
        <f t="shared" si="137"/>
        <v>-0.13581370677059379</v>
      </c>
      <c r="AD25" s="77">
        <f t="shared" si="137"/>
        <v>-0.27733865033454197</v>
      </c>
      <c r="AE25" s="77">
        <f t="shared" si="137"/>
        <v>1.3745153356933271E-2</v>
      </c>
      <c r="AF25" s="77">
        <f t="shared" si="137"/>
        <v>3.6431861985728675E-2</v>
      </c>
      <c r="AG25" s="77">
        <f t="shared" si="137"/>
        <v>-0.12194458603456537</v>
      </c>
      <c r="AH25" s="77">
        <f t="shared" si="137"/>
        <v>-0.13646308240633453</v>
      </c>
      <c r="AI25" s="77">
        <f t="shared" si="137"/>
        <v>-0.13385994875326701</v>
      </c>
      <c r="AJ25" s="77">
        <f t="shared" si="137"/>
        <v>-6.7774284267495988E-2</v>
      </c>
      <c r="AK25" s="77">
        <f t="shared" si="137"/>
        <v>0.12590883323157831</v>
      </c>
      <c r="AL25" s="77">
        <f t="shared" si="137"/>
        <v>0.11297207672794496</v>
      </c>
      <c r="AM25" s="77">
        <f t="shared" si="137"/>
        <v>-0.27443853421245035</v>
      </c>
      <c r="AN25" s="77">
        <f t="shared" si="137"/>
        <v>-0.26539995122519011</v>
      </c>
      <c r="AO25" s="77">
        <f t="shared" si="137"/>
        <v>-9.4304947885345047E-2</v>
      </c>
      <c r="AP25" s="77">
        <f t="shared" si="137"/>
        <v>0.2580668963720405</v>
      </c>
      <c r="AQ25" s="77">
        <f t="shared" si="137"/>
        <v>-9.0957024449320079E-2</v>
      </c>
      <c r="AR25" s="77">
        <f t="shared" si="137"/>
        <v>-7.9975510050833365E-2</v>
      </c>
      <c r="AS25" s="77">
        <f t="shared" si="137"/>
        <v>0.14049726434378851</v>
      </c>
      <c r="AT25" s="77">
        <f t="shared" ref="AT25:BY25" si="138">AT2/AH2-1</f>
        <v>0.16100362135393009</v>
      </c>
      <c r="AU25" s="77">
        <f t="shared" si="138"/>
        <v>-4.4821376802785862E-2</v>
      </c>
      <c r="AV25" s="77">
        <f t="shared" si="138"/>
        <v>-3.4129168659907005E-2</v>
      </c>
      <c r="AW25" s="77">
        <f t="shared" si="138"/>
        <v>-0.15437843844103449</v>
      </c>
      <c r="AX25" s="77">
        <f t="shared" si="138"/>
        <v>0.84468705193153237</v>
      </c>
      <c r="AY25" s="77">
        <f t="shared" si="138"/>
        <v>1.3960780066609635</v>
      </c>
      <c r="AZ25" s="77">
        <f t="shared" si="138"/>
        <v>1.5955508348531802</v>
      </c>
      <c r="BA25" s="77">
        <f t="shared" si="138"/>
        <v>2.558413498298771</v>
      </c>
      <c r="BB25" s="77">
        <f t="shared" si="138"/>
        <v>1.0716961047960347</v>
      </c>
      <c r="BC25" s="77">
        <f t="shared" si="138"/>
        <v>4.0653984154775413</v>
      </c>
      <c r="BD25" s="77">
        <f t="shared" si="138"/>
        <v>3.1057823118090875</v>
      </c>
      <c r="BE25" s="77">
        <f t="shared" si="138"/>
        <v>0.1558216194423947</v>
      </c>
      <c r="BF25" s="77">
        <f t="shared" si="138"/>
        <v>2.6475629576522022</v>
      </c>
      <c r="BG25" s="77">
        <f t="shared" si="138"/>
        <v>2.2414754968617858</v>
      </c>
      <c r="BH25" s="77">
        <f t="shared" si="138"/>
        <v>1.6683607189279144</v>
      </c>
      <c r="BI25" s="77">
        <f t="shared" si="138"/>
        <v>1.6857196371990146</v>
      </c>
      <c r="BJ25" s="77">
        <f t="shared" si="138"/>
        <v>0.12583432420575424</v>
      </c>
      <c r="BK25" s="77">
        <f t="shared" si="138"/>
        <v>0.15285080245619054</v>
      </c>
      <c r="BL25" s="77">
        <f t="shared" si="138"/>
        <v>-4.1565054272944435E-2</v>
      </c>
      <c r="BM25" s="77">
        <f t="shared" si="138"/>
        <v>2.8351733951762714E-2</v>
      </c>
      <c r="BN25" s="77">
        <f t="shared" si="138"/>
        <v>-0.25185739744803093</v>
      </c>
      <c r="BO25" s="77">
        <f t="shared" si="138"/>
        <v>-0.4470948185742557</v>
      </c>
      <c r="BP25" s="77">
        <f t="shared" si="138"/>
        <v>-0.57395555394730491</v>
      </c>
      <c r="BQ25" s="77">
        <f t="shared" si="138"/>
        <v>1.5726772068979278</v>
      </c>
      <c r="BR25" s="77">
        <f t="shared" si="138"/>
        <v>-0.3146959569930825</v>
      </c>
      <c r="BS25" s="77">
        <f t="shared" si="138"/>
        <v>-0.46195300949401763</v>
      </c>
      <c r="BT25" s="77">
        <f t="shared" si="138"/>
        <v>-9.8867800042630849E-2</v>
      </c>
      <c r="BU25" s="77">
        <f t="shared" si="138"/>
        <v>-0.24962719328129868</v>
      </c>
      <c r="BV25" s="77">
        <f t="shared" si="138"/>
        <v>3.1138057939690933E-2</v>
      </c>
      <c r="BW25" s="78">
        <f t="shared" si="138"/>
        <v>-0.19044911494401739</v>
      </c>
      <c r="BX25" s="78">
        <f t="shared" si="138"/>
        <v>-0.47209410658405915</v>
      </c>
      <c r="BY25" s="78">
        <f t="shared" si="138"/>
        <v>-0.4528447652533929</v>
      </c>
      <c r="BZ25" s="78">
        <f t="shared" ref="BZ25:DE25" si="139">BZ2/BN2-1</f>
        <v>0.37344980496142099</v>
      </c>
      <c r="CA25" s="78">
        <f t="shared" si="139"/>
        <v>1.0233009844116943</v>
      </c>
      <c r="CB25" s="78">
        <f t="shared" si="139"/>
        <v>1.6418263341710877</v>
      </c>
      <c r="CC25" s="78">
        <f t="shared" si="139"/>
        <v>0.40990084548000438</v>
      </c>
      <c r="CD25" s="78">
        <f t="shared" si="139"/>
        <v>0.28931065781873366</v>
      </c>
      <c r="CE25" s="78">
        <f t="shared" si="139"/>
        <v>1.2368831292010496E-2</v>
      </c>
      <c r="CF25" s="78">
        <f t="shared" si="139"/>
        <v>-0.15997336636838877</v>
      </c>
      <c r="CG25" s="78">
        <f t="shared" si="139"/>
        <v>0.17965951728690444</v>
      </c>
      <c r="CH25" s="78">
        <f t="shared" si="139"/>
        <v>-0.22906553398973106</v>
      </c>
      <c r="CI25" s="78">
        <f t="shared" si="139"/>
        <v>0.27287694470562229</v>
      </c>
      <c r="CJ25" s="78">
        <f t="shared" si="139"/>
        <v>0.92626464439000578</v>
      </c>
      <c r="CK25" s="78">
        <f t="shared" si="139"/>
        <v>0.27064531368748557</v>
      </c>
      <c r="CL25" s="78">
        <f t="shared" si="139"/>
        <v>0.64925308011784755</v>
      </c>
      <c r="CM25" s="78">
        <f t="shared" si="139"/>
        <v>-6.5495867850217881E-2</v>
      </c>
      <c r="CN25" s="78">
        <f t="shared" si="139"/>
        <v>-0.85683665430280564</v>
      </c>
      <c r="CO25" s="78">
        <f t="shared" si="139"/>
        <v>0.18755330447725926</v>
      </c>
      <c r="CP25" s="78">
        <f t="shared" si="139"/>
        <v>0.2978848381043242</v>
      </c>
      <c r="CQ25" s="78">
        <f t="shared" si="139"/>
        <v>-0.20347822950858607</v>
      </c>
      <c r="CR25" s="78">
        <f t="shared" si="139"/>
        <v>-0.58526513238054378</v>
      </c>
      <c r="CS25" s="78">
        <f t="shared" si="139"/>
        <v>-0.60175957374200484</v>
      </c>
      <c r="CT25" s="78">
        <f t="shared" si="139"/>
        <v>-0.42972207211519953</v>
      </c>
      <c r="CU25" s="78">
        <f t="shared" si="139"/>
        <v>-0.70678124238721107</v>
      </c>
      <c r="CV25" s="78">
        <f t="shared" si="139"/>
        <v>-0.73379329520089032</v>
      </c>
      <c r="CW25" s="78">
        <f t="shared" si="139"/>
        <v>-0.10759393515869142</v>
      </c>
      <c r="CX25" s="78">
        <f t="shared" si="139"/>
        <v>0.96647418378114636</v>
      </c>
      <c r="CY25" s="78">
        <f t="shared" si="139"/>
        <v>0.84130034066854509</v>
      </c>
      <c r="CZ25" s="78">
        <f t="shared" si="139"/>
        <v>0.28652339707145669</v>
      </c>
      <c r="DA25" s="78">
        <f t="shared" si="139"/>
        <v>0.53058350562071488</v>
      </c>
      <c r="DB25" s="78">
        <f t="shared" si="139"/>
        <v>-0.26124518267267305</v>
      </c>
      <c r="DC25" s="78">
        <f t="shared" si="139"/>
        <v>-0.16358101424761951</v>
      </c>
      <c r="DD25" s="78">
        <f t="shared" si="139"/>
        <v>0.48997192773455844</v>
      </c>
      <c r="DE25" s="78">
        <f t="shared" si="139"/>
        <v>1.2225884353009926</v>
      </c>
      <c r="DF25" s="78">
        <f t="shared" ref="DF25:EK25" si="140">DF2/CT2-1</f>
        <v>1.2757210688024738</v>
      </c>
      <c r="DG25" s="78">
        <f t="shared" si="140"/>
        <v>2.0508344103010203</v>
      </c>
      <c r="DH25" s="78">
        <f t="shared" si="140"/>
        <v>2.5137549788684406</v>
      </c>
      <c r="DI25" s="78">
        <f t="shared" si="140"/>
        <v>0.1964668207329876</v>
      </c>
      <c r="DJ25" s="78">
        <f t="shared" si="140"/>
        <v>-0.47010676142873042</v>
      </c>
      <c r="DK25" s="78">
        <f t="shared" si="140"/>
        <v>-0.91354790307415534</v>
      </c>
      <c r="DL25" s="78">
        <f t="shared" si="140"/>
        <v>8.8944645351556311</v>
      </c>
      <c r="DM25" s="78">
        <f t="shared" si="140"/>
        <v>-0.4239233276898382</v>
      </c>
      <c r="DN25" s="78">
        <f t="shared" si="140"/>
        <v>-7.175531684276959E-2</v>
      </c>
      <c r="DO25" s="78">
        <f t="shared" si="140"/>
        <v>0.34422771172220346</v>
      </c>
      <c r="DP25" s="78">
        <f t="shared" si="140"/>
        <v>0.59581352514945873</v>
      </c>
      <c r="DQ25" s="78">
        <f t="shared" si="140"/>
        <v>-0.37735485126794677</v>
      </c>
      <c r="DR25" s="78">
        <f t="shared" si="140"/>
        <v>0.5966176856445371</v>
      </c>
      <c r="DS25" s="78">
        <f t="shared" si="140"/>
        <v>0.47976336738902603</v>
      </c>
      <c r="DT25" s="78">
        <f t="shared" si="140"/>
        <v>-0.64593480952011129</v>
      </c>
      <c r="DU25" s="78">
        <f t="shared" si="140"/>
        <v>0.22220843461205031</v>
      </c>
      <c r="DV25" s="78">
        <f t="shared" si="140"/>
        <v>0.21375238795326634</v>
      </c>
      <c r="DW25" s="78"/>
      <c r="DX25" s="78"/>
    </row>
    <row r="26" spans="1:130" ht="19.5" hidden="1">
      <c r="A26" s="28" t="s">
        <v>28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77">
        <f t="shared" ref="N26:AS26" si="141">N9/B9-1</f>
        <v>-0.28447389233873766</v>
      </c>
      <c r="O26" s="77">
        <f t="shared" si="141"/>
        <v>5.6134300404354631E-2</v>
      </c>
      <c r="P26" s="77">
        <f t="shared" si="141"/>
        <v>-3.5401255286699573E-2</v>
      </c>
      <c r="Q26" s="77">
        <f t="shared" si="141"/>
        <v>7.0555862261874047E-2</v>
      </c>
      <c r="R26" s="77">
        <f t="shared" si="141"/>
        <v>0.27632235982521314</v>
      </c>
      <c r="S26" s="77">
        <f t="shared" si="141"/>
        <v>-3.2938071252859413E-2</v>
      </c>
      <c r="T26" s="77">
        <f t="shared" si="141"/>
        <v>8.9159648341916142E-2</v>
      </c>
      <c r="U26" s="77">
        <f t="shared" si="141"/>
        <v>0.12274518229347198</v>
      </c>
      <c r="V26" s="77">
        <f t="shared" si="141"/>
        <v>0.19634209244893785</v>
      </c>
      <c r="W26" s="77">
        <f t="shared" si="141"/>
        <v>-7.2156217172717696E-2</v>
      </c>
      <c r="X26" s="77">
        <f t="shared" si="141"/>
        <v>-0.14340683724376346</v>
      </c>
      <c r="Y26" s="77">
        <f t="shared" si="141"/>
        <v>-5.9571844625022852E-2</v>
      </c>
      <c r="Z26" s="77">
        <f t="shared" si="141"/>
        <v>-5.3057682931031191E-2</v>
      </c>
      <c r="AA26" s="77">
        <f t="shared" si="141"/>
        <v>0.15198103340378855</v>
      </c>
      <c r="AB26" s="77">
        <f t="shared" si="141"/>
        <v>0.25621608629239034</v>
      </c>
      <c r="AC26" s="77">
        <f t="shared" si="141"/>
        <v>-0.13536216901541009</v>
      </c>
      <c r="AD26" s="77">
        <f t="shared" si="141"/>
        <v>-0.26591893601246552</v>
      </c>
      <c r="AE26" s="77">
        <f t="shared" si="141"/>
        <v>1.284595185824533E-2</v>
      </c>
      <c r="AF26" s="77">
        <f t="shared" si="141"/>
        <v>-3.3477741047441723E-2</v>
      </c>
      <c r="AG26" s="77">
        <f t="shared" si="141"/>
        <v>-7.8842238168322254E-2</v>
      </c>
      <c r="AH26" s="77">
        <f t="shared" si="141"/>
        <v>-0.15219868286994787</v>
      </c>
      <c r="AI26" s="77">
        <f t="shared" si="141"/>
        <v>-0.1269240426197914</v>
      </c>
      <c r="AJ26" s="77">
        <f t="shared" si="141"/>
        <v>-6.5471113149774718E-2</v>
      </c>
      <c r="AK26" s="77">
        <f t="shared" si="141"/>
        <v>0.11304214907509835</v>
      </c>
      <c r="AL26" s="77">
        <f t="shared" si="141"/>
        <v>0.11269870612315391</v>
      </c>
      <c r="AM26" s="77">
        <f t="shared" si="141"/>
        <v>-0.2771925566568828</v>
      </c>
      <c r="AN26" s="77">
        <f t="shared" si="141"/>
        <v>-0.2639921864188296</v>
      </c>
      <c r="AO26" s="77">
        <f t="shared" si="141"/>
        <v>-0.10290012679769034</v>
      </c>
      <c r="AP26" s="77">
        <f t="shared" si="141"/>
        <v>0.24862380961729746</v>
      </c>
      <c r="AQ26" s="77">
        <f t="shared" si="141"/>
        <v>-8.0338840775260767E-2</v>
      </c>
      <c r="AR26" s="77">
        <f t="shared" si="141"/>
        <v>1.2149264824649508E-2</v>
      </c>
      <c r="AS26" s="77">
        <f t="shared" si="141"/>
        <v>8.4715026285630435E-2</v>
      </c>
      <c r="AT26" s="77">
        <f t="shared" ref="AT26:BY26" si="142">AT9/AH9-1</f>
        <v>0.14515967223722437</v>
      </c>
      <c r="AU26" s="77">
        <f t="shared" si="142"/>
        <v>-5.3151116590196779E-2</v>
      </c>
      <c r="AV26" s="77">
        <f t="shared" si="142"/>
        <v>-3.9012927167765943E-2</v>
      </c>
      <c r="AW26" s="77">
        <f t="shared" si="142"/>
        <v>-0.16369968039043792</v>
      </c>
      <c r="AX26" s="77">
        <f t="shared" si="142"/>
        <v>-0.28198746728184232</v>
      </c>
      <c r="AY26" s="77">
        <f t="shared" si="142"/>
        <v>-5.2502290784487204E-2</v>
      </c>
      <c r="AZ26" s="77">
        <f t="shared" si="142"/>
        <v>-6.1346134867912627E-2</v>
      </c>
      <c r="BA26" s="77">
        <f t="shared" si="142"/>
        <v>0.12338809361956882</v>
      </c>
      <c r="BB26" s="77">
        <f t="shared" si="142"/>
        <v>2.2169811955868202E-2</v>
      </c>
      <c r="BC26" s="77">
        <f t="shared" si="142"/>
        <v>7.7520568274712653E-2</v>
      </c>
      <c r="BD26" s="77">
        <f t="shared" si="142"/>
        <v>-3.9791925424287999E-2</v>
      </c>
      <c r="BE26" s="77">
        <f t="shared" si="142"/>
        <v>-4.4710166400307783E-2</v>
      </c>
      <c r="BF26" s="77">
        <f t="shared" si="142"/>
        <v>-1.5974595043998452E-2</v>
      </c>
      <c r="BG26" s="77">
        <f t="shared" si="142"/>
        <v>-0.1443819242787544</v>
      </c>
      <c r="BH26" s="77">
        <f t="shared" si="142"/>
        <v>-9.3086807158588414E-2</v>
      </c>
      <c r="BI26" s="77">
        <f t="shared" si="142"/>
        <v>8.4968911987424178E-2</v>
      </c>
      <c r="BJ26" s="77">
        <f t="shared" si="142"/>
        <v>0.24218740602719091</v>
      </c>
      <c r="BK26" s="77">
        <f t="shared" si="142"/>
        <v>0.4004449219346935</v>
      </c>
      <c r="BL26" s="77">
        <f t="shared" si="142"/>
        <v>9.4830103839002922E-2</v>
      </c>
      <c r="BM26" s="77">
        <f t="shared" si="142"/>
        <v>-1.6577205988675292E-2</v>
      </c>
      <c r="BN26" s="77">
        <f t="shared" si="142"/>
        <v>4.9772788673174695E-4</v>
      </c>
      <c r="BO26" s="77">
        <f t="shared" si="142"/>
        <v>-7.2335670338842251E-2</v>
      </c>
      <c r="BP26" s="77">
        <f t="shared" si="142"/>
        <v>-8.7577576137467972E-2</v>
      </c>
      <c r="BQ26" s="77">
        <f t="shared" si="142"/>
        <v>7.9449431870138421E-2</v>
      </c>
      <c r="BR26" s="77">
        <f t="shared" si="142"/>
        <v>0.1407756535257938</v>
      </c>
      <c r="BS26" s="77">
        <f t="shared" si="142"/>
        <v>2.5617026099221674E-2</v>
      </c>
      <c r="BT26" s="77">
        <f t="shared" si="142"/>
        <v>4.6927246339416362E-2</v>
      </c>
      <c r="BU26" s="77">
        <f t="shared" si="142"/>
        <v>0.24425347422838284</v>
      </c>
      <c r="BV26" s="77">
        <f t="shared" si="142"/>
        <v>-7.1440482001307481E-2</v>
      </c>
      <c r="BW26" s="78">
        <f t="shared" si="142"/>
        <v>-0.30984085701223674</v>
      </c>
      <c r="BX26" s="78">
        <f t="shared" si="142"/>
        <v>-0.14889392782299227</v>
      </c>
      <c r="BY26" s="78">
        <f t="shared" si="142"/>
        <v>-0.15222693739739235</v>
      </c>
      <c r="BZ26" s="78">
        <f t="shared" ref="BZ26:DE26" si="143">BZ9/BN9-1</f>
        <v>-0.21175976140816943</v>
      </c>
      <c r="CA26" s="78">
        <f t="shared" si="143"/>
        <v>-0.13310823272600858</v>
      </c>
      <c r="CB26" s="78">
        <f t="shared" si="143"/>
        <v>-0.20292455916746099</v>
      </c>
      <c r="CC26" s="78">
        <f t="shared" si="143"/>
        <v>-0.34278889290518455</v>
      </c>
      <c r="CD26" s="78">
        <f t="shared" si="143"/>
        <v>-0.40880260123284173</v>
      </c>
      <c r="CE26" s="78">
        <f t="shared" si="143"/>
        <v>-0.37884740600413336</v>
      </c>
      <c r="CF26" s="78">
        <f t="shared" si="143"/>
        <v>-0.29342476059521994</v>
      </c>
      <c r="CG26" s="78">
        <f t="shared" si="143"/>
        <v>-0.40738956598768239</v>
      </c>
      <c r="CH26" s="78">
        <f t="shared" si="143"/>
        <v>-0.35334876427984707</v>
      </c>
      <c r="CI26" s="78">
        <f t="shared" si="143"/>
        <v>-0.28688421072885695</v>
      </c>
      <c r="CJ26" s="78">
        <f t="shared" si="143"/>
        <v>-0.16554575044962772</v>
      </c>
      <c r="CK26" s="78">
        <f t="shared" si="143"/>
        <v>-0.23193758130267172</v>
      </c>
      <c r="CL26" s="78">
        <f t="shared" si="143"/>
        <v>-0.17375178761005949</v>
      </c>
      <c r="CM26" s="78">
        <f t="shared" si="143"/>
        <v>-0.12051311193005199</v>
      </c>
      <c r="CN26" s="78">
        <f t="shared" si="143"/>
        <v>-3.8440459251656955E-2</v>
      </c>
      <c r="CO26" s="78">
        <f t="shared" si="143"/>
        <v>-8.2837165549798364E-5</v>
      </c>
      <c r="CP26" s="78">
        <f t="shared" si="143"/>
        <v>-0.18287667593470613</v>
      </c>
      <c r="CQ26" s="78">
        <f t="shared" si="143"/>
        <v>0.57600927452087824</v>
      </c>
      <c r="CR26" s="78">
        <f t="shared" si="143"/>
        <v>0.24571264601170584</v>
      </c>
      <c r="CS26" s="78">
        <f t="shared" si="143"/>
        <v>0.20413419514197062</v>
      </c>
      <c r="CT26" s="78">
        <f t="shared" si="143"/>
        <v>0.74883937676514156</v>
      </c>
      <c r="CU26" s="78">
        <f t="shared" si="143"/>
        <v>0.27764085994519228</v>
      </c>
      <c r="CV26" s="78">
        <f t="shared" si="143"/>
        <v>-8.5195422267725918E-2</v>
      </c>
      <c r="CW26" s="78">
        <f t="shared" si="143"/>
        <v>0.34983170996044133</v>
      </c>
      <c r="CX26" s="78">
        <f t="shared" si="143"/>
        <v>-6.5539892310342296E-2</v>
      </c>
      <c r="CY26" s="78">
        <f t="shared" si="143"/>
        <v>-3.5064823368546105E-2</v>
      </c>
      <c r="CZ26" s="78">
        <f t="shared" si="143"/>
        <v>-4.1438566142884437E-2</v>
      </c>
      <c r="DA26" s="78">
        <f t="shared" si="143"/>
        <v>-7.5933989860289541E-2</v>
      </c>
      <c r="DB26" s="78">
        <f t="shared" si="143"/>
        <v>7.4558538708564548E-3</v>
      </c>
      <c r="DC26" s="78">
        <f t="shared" si="143"/>
        <v>-0.19917182635691111</v>
      </c>
      <c r="DD26" s="78">
        <f t="shared" si="143"/>
        <v>-7.3157598775945298E-2</v>
      </c>
      <c r="DE26" s="78">
        <f t="shared" si="143"/>
        <v>-0.11615724743787792</v>
      </c>
      <c r="DF26" s="78">
        <f t="shared" ref="DF26:DV26" si="144">DF9/CT9-1</f>
        <v>-0.38553707100388446</v>
      </c>
      <c r="DG26" s="78">
        <f t="shared" si="144"/>
        <v>7.3842905286876093E-3</v>
      </c>
      <c r="DH26" s="78">
        <f t="shared" si="144"/>
        <v>-9.2897445947700441E-2</v>
      </c>
      <c r="DI26" s="78">
        <f t="shared" si="144"/>
        <v>-0.25607879834078739</v>
      </c>
      <c r="DJ26" s="78">
        <f t="shared" si="144"/>
        <v>0.17797700097751146</v>
      </c>
      <c r="DK26" s="78">
        <f t="shared" si="144"/>
        <v>4.9338683999176958E-2</v>
      </c>
      <c r="DL26" s="78">
        <f t="shared" si="144"/>
        <v>-9.8277291469909267E-3</v>
      </c>
      <c r="DM26" s="78">
        <f t="shared" si="144"/>
        <v>0.16727514340111993</v>
      </c>
      <c r="DN26" s="78">
        <f t="shared" si="144"/>
        <v>0.15341433956071482</v>
      </c>
      <c r="DO26" s="78">
        <f t="shared" si="144"/>
        <v>3.5115778303039358E-2</v>
      </c>
      <c r="DP26" s="78">
        <f t="shared" si="144"/>
        <v>-2.4054234940839692E-2</v>
      </c>
      <c r="DQ26" s="78">
        <f t="shared" si="144"/>
        <v>-9.061773415549379E-2</v>
      </c>
      <c r="DR26" s="78">
        <f t="shared" si="144"/>
        <v>0.66308202076184375</v>
      </c>
      <c r="DS26" s="78">
        <f t="shared" si="144"/>
        <v>0.39462041501382727</v>
      </c>
      <c r="DT26" s="78">
        <f t="shared" si="144"/>
        <v>8.3492617493279297E-3</v>
      </c>
      <c r="DU26" s="78">
        <f t="shared" si="144"/>
        <v>4.3530632649557255E-2</v>
      </c>
      <c r="DV26" s="78">
        <f t="shared" si="144"/>
        <v>-0.21084390726374647</v>
      </c>
      <c r="DW26" s="78"/>
      <c r="DX26" s="78"/>
    </row>
    <row r="27" spans="1:130" ht="19.5" hidden="1">
      <c r="A27" s="28" t="s">
        <v>24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77">
        <f t="shared" ref="N27:Y27" si="145">N16/B16-1</f>
        <v>0.3777550476421816</v>
      </c>
      <c r="O27" s="77">
        <f t="shared" si="145"/>
        <v>0.11795685370786035</v>
      </c>
      <c r="P27" s="77">
        <f t="shared" si="145"/>
        <v>0.11351072011628927</v>
      </c>
      <c r="Q27" s="77">
        <f t="shared" si="145"/>
        <v>-7.7872706873510444E-2</v>
      </c>
      <c r="R27" s="77">
        <f t="shared" si="145"/>
        <v>-3.7609772419781362E-2</v>
      </c>
      <c r="S27" s="77">
        <f t="shared" si="145"/>
        <v>-7.5834995932845928E-2</v>
      </c>
      <c r="T27" s="77">
        <f t="shared" si="145"/>
        <v>-0.1042288823994254</v>
      </c>
      <c r="U27" s="77">
        <f t="shared" si="145"/>
        <v>-9.9974505669108926E-2</v>
      </c>
      <c r="V27" s="77">
        <f t="shared" si="145"/>
        <v>-0.12343352796219176</v>
      </c>
      <c r="W27" s="77">
        <f t="shared" si="145"/>
        <v>1.4719090238555887E-2</v>
      </c>
      <c r="X27" s="77">
        <f t="shared" si="145"/>
        <v>-4.7013370227126816E-2</v>
      </c>
      <c r="Y27" s="77">
        <f t="shared" si="145"/>
        <v>-5.8045661097575585E-2</v>
      </c>
      <c r="Z27" s="77">
        <f t="shared" ref="Z27:AK27" si="146">Z16/N16-1</f>
        <v>-1.8490321243275432E-2</v>
      </c>
      <c r="AA27" s="77">
        <f t="shared" si="146"/>
        <v>-6.6252835143846278E-2</v>
      </c>
      <c r="AB27" s="77">
        <f t="shared" si="146"/>
        <v>-1.6431105484206454E-2</v>
      </c>
      <c r="AC27" s="77">
        <f t="shared" si="146"/>
        <v>-4.8983190955845801E-2</v>
      </c>
      <c r="AD27" s="77">
        <f t="shared" si="146"/>
        <v>-0.17927407919919014</v>
      </c>
      <c r="AE27" s="77">
        <f t="shared" si="146"/>
        <v>-0.20418766441235481</v>
      </c>
      <c r="AF27" s="77">
        <f t="shared" si="146"/>
        <v>7.6187029914980275E-2</v>
      </c>
      <c r="AG27" s="77">
        <f t="shared" si="146"/>
        <v>-0.19673027146226874</v>
      </c>
      <c r="AH27" s="77">
        <f t="shared" si="146"/>
        <v>-8.9080984932598195E-2</v>
      </c>
      <c r="AI27" s="77">
        <f t="shared" si="146"/>
        <v>-0.12630479877752299</v>
      </c>
      <c r="AJ27" s="77">
        <f t="shared" si="146"/>
        <v>-0.15947138535479843</v>
      </c>
      <c r="AK27" s="77">
        <f t="shared" si="146"/>
        <v>6.2525831700900092E-2</v>
      </c>
      <c r="AL27" s="77">
        <f t="shared" ref="AL27" si="147">AL16/Z16-1</f>
        <v>-2.0780938179890573E-2</v>
      </c>
      <c r="AM27" s="77">
        <f t="shared" ref="AM27:AN27" si="148">AM16/AA16-1</f>
        <v>3.1896092424991807E-2</v>
      </c>
      <c r="AN27" s="77">
        <f t="shared" si="148"/>
        <v>-4.2801079952408783E-2</v>
      </c>
      <c r="AO27" s="77">
        <f t="shared" ref="AO27" si="149">AO16/AC16-1</f>
        <v>7.5407479524080223E-2</v>
      </c>
      <c r="AP27" s="77">
        <f t="shared" ref="AP27" si="150">AP16/AD16-1</f>
        <v>8.8873189843813982E-2</v>
      </c>
      <c r="AQ27" s="77">
        <f t="shared" ref="AQ27" si="151">AQ16/AE16-1</f>
        <v>9.5646968291647427E-2</v>
      </c>
      <c r="AR27" s="77">
        <f t="shared" ref="AR27" si="152">AR16/AF16-1</f>
        <v>-0.28353914965370841</v>
      </c>
      <c r="AS27" s="77">
        <f t="shared" ref="AS27" si="153">AS16/AG16-1</f>
        <v>-3.428014467782392E-2</v>
      </c>
      <c r="AT27" s="77">
        <f t="shared" ref="AT27" si="154">AT16/AH16-1</f>
        <v>2.420197310826766E-2</v>
      </c>
      <c r="AU27" s="77">
        <f t="shared" ref="AU27" si="155">AU16/AI16-1</f>
        <v>2.3637346923754965E-2</v>
      </c>
      <c r="AV27" s="77">
        <f>AV16/AJ16-1</f>
        <v>9.6689327923209056E-2</v>
      </c>
      <c r="AW27" s="77">
        <f t="shared" ref="AW27" si="156">AW16/AK16-1</f>
        <v>8.3085809846044301E-2</v>
      </c>
      <c r="AX27" s="77">
        <f t="shared" ref="AX27" si="157">AX16/AL16-1</f>
        <v>0.35513219819843056</v>
      </c>
      <c r="AY27" s="77">
        <f t="shared" ref="AY27" si="158">AY16/AM16-1</f>
        <v>0.25691015839232856</v>
      </c>
      <c r="AZ27" s="77">
        <f t="shared" ref="AZ27" si="159">AZ16/AN16-1</f>
        <v>0.50571128264602505</v>
      </c>
      <c r="BA27" s="77">
        <f t="shared" ref="BA27" si="160">BA16/AO16-1</f>
        <v>0.39716035286919582</v>
      </c>
      <c r="BB27" s="77">
        <f t="shared" ref="BB27:CI27" si="161">BB16/AP16-1</f>
        <v>0.40925124284279013</v>
      </c>
      <c r="BC27" s="77">
        <f t="shared" si="161"/>
        <v>0.30288632789526115</v>
      </c>
      <c r="BD27" s="77">
        <f t="shared" si="161"/>
        <v>0.58960854570096544</v>
      </c>
      <c r="BE27" s="77">
        <f t="shared" si="161"/>
        <v>0.91994121469830481</v>
      </c>
      <c r="BF27" s="77">
        <f t="shared" si="161"/>
        <v>0.52122542899743673</v>
      </c>
      <c r="BG27" s="77">
        <f t="shared" si="161"/>
        <v>0.14310906585982841</v>
      </c>
      <c r="BH27" s="77">
        <f t="shared" si="161"/>
        <v>0.15678637126449013</v>
      </c>
      <c r="BI27" s="77">
        <f t="shared" si="161"/>
        <v>0.1628630051793305</v>
      </c>
      <c r="BJ27" s="77">
        <f t="shared" si="161"/>
        <v>-4.7542515435595512E-2</v>
      </c>
      <c r="BK27" s="77">
        <f t="shared" si="161"/>
        <v>0.10895400502506258</v>
      </c>
      <c r="BL27" s="77">
        <f t="shared" si="161"/>
        <v>-0.21886473174398058</v>
      </c>
      <c r="BM27" s="77">
        <f t="shared" si="161"/>
        <v>0.17106277761654032</v>
      </c>
      <c r="BN27" s="77">
        <f t="shared" si="161"/>
        <v>0.13082513171590837</v>
      </c>
      <c r="BO27" s="77">
        <f t="shared" si="161"/>
        <v>0.23885851165515137</v>
      </c>
      <c r="BP27" s="77">
        <f t="shared" si="161"/>
        <v>0.17874058479194721</v>
      </c>
      <c r="BQ27" s="77">
        <f t="shared" si="161"/>
        <v>-1.1124470670554887E-3</v>
      </c>
      <c r="BR27" s="77">
        <f t="shared" si="161"/>
        <v>2.8161829979175268E-2</v>
      </c>
      <c r="BS27" s="77">
        <f t="shared" si="161"/>
        <v>6.94913875398393E-2</v>
      </c>
      <c r="BT27" s="77">
        <f t="shared" si="161"/>
        <v>0.13763475909763323</v>
      </c>
      <c r="BU27" s="77">
        <f t="shared" si="161"/>
        <v>-7.9120306772641147E-2</v>
      </c>
      <c r="BV27" s="77">
        <f t="shared" si="161"/>
        <v>-0.13721099251204538</v>
      </c>
      <c r="BW27" s="78">
        <f t="shared" si="161"/>
        <v>-2.3961293231948289E-2</v>
      </c>
      <c r="BX27" s="78">
        <f t="shared" si="161"/>
        <v>1.8443434190020591E-2</v>
      </c>
      <c r="BY27" s="78">
        <f t="shared" si="161"/>
        <v>-0.29746713907660205</v>
      </c>
      <c r="BZ27" s="78">
        <f t="shared" si="161"/>
        <v>-0.14671037821275801</v>
      </c>
      <c r="CA27" s="78">
        <f t="shared" si="161"/>
        <v>2.3873178064842238E-2</v>
      </c>
      <c r="CB27" s="78">
        <f t="shared" si="161"/>
        <v>-6.9441650978342317E-2</v>
      </c>
      <c r="CC27" s="78">
        <f t="shared" si="161"/>
        <v>-0.13162105617630893</v>
      </c>
      <c r="CD27" s="78">
        <f t="shared" si="161"/>
        <v>1.6489203120356288E-2</v>
      </c>
      <c r="CE27" s="78">
        <f t="shared" si="161"/>
        <v>-3.2624437453024568E-2</v>
      </c>
      <c r="CF27" s="78">
        <f t="shared" si="161"/>
        <v>-0.11531521040472226</v>
      </c>
      <c r="CG27" s="78">
        <f t="shared" si="161"/>
        <v>-6.9715028893630571E-2</v>
      </c>
      <c r="CH27" s="78">
        <f t="shared" si="161"/>
        <v>6.5492983377276826E-2</v>
      </c>
      <c r="CI27" s="78">
        <f t="shared" si="161"/>
        <v>-1.8683910160137707E-2</v>
      </c>
      <c r="CJ27" s="78">
        <f t="shared" ref="CJ27:DU27" si="162">CJ16/BX16-1</f>
        <v>3.5916796563663311E-2</v>
      </c>
      <c r="CK27" s="78">
        <f t="shared" si="162"/>
        <v>-4.0429835186176488E-3</v>
      </c>
      <c r="CL27" s="78">
        <f t="shared" si="162"/>
        <v>-0.15221618345635846</v>
      </c>
      <c r="CM27" s="78">
        <f t="shared" si="162"/>
        <v>-0.21194719328789158</v>
      </c>
      <c r="CN27" s="78">
        <f t="shared" si="162"/>
        <v>-0.22525305531697404</v>
      </c>
      <c r="CO27" s="78">
        <f t="shared" si="162"/>
        <v>-4.1220949470795132E-2</v>
      </c>
      <c r="CP27" s="78">
        <f t="shared" si="162"/>
        <v>-4.5100045152865031E-2</v>
      </c>
      <c r="CQ27" s="78">
        <f t="shared" si="162"/>
        <v>4.9701527058378936E-2</v>
      </c>
      <c r="CR27" s="78">
        <f t="shared" si="162"/>
        <v>8.0867923006524345E-2</v>
      </c>
      <c r="CS27" s="78">
        <f t="shared" si="162"/>
        <v>5.8562655041962675E-2</v>
      </c>
      <c r="CT27" s="78">
        <f t="shared" si="162"/>
        <v>0.11713340035132558</v>
      </c>
      <c r="CU27" s="78">
        <f t="shared" si="162"/>
        <v>1.1519695950976239E-2</v>
      </c>
      <c r="CV27" s="78">
        <f t="shared" si="162"/>
        <v>0.17975711341117417</v>
      </c>
      <c r="CW27" s="78">
        <f t="shared" si="162"/>
        <v>0.16763720382930791</v>
      </c>
      <c r="CX27" s="78">
        <f t="shared" si="162"/>
        <v>0.26524188967576579</v>
      </c>
      <c r="CY27" s="78">
        <f t="shared" si="162"/>
        <v>-7.9164854272921525E-2</v>
      </c>
      <c r="CZ27" s="78">
        <f t="shared" si="162"/>
        <v>0.28643423840504134</v>
      </c>
      <c r="DA27" s="78">
        <f t="shared" si="162"/>
        <v>0.22812272715440685</v>
      </c>
      <c r="DB27" s="78">
        <f t="shared" si="162"/>
        <v>8.3771216547456673E-2</v>
      </c>
      <c r="DC27" s="78">
        <f t="shared" si="162"/>
        <v>-4.6532751024469188E-2</v>
      </c>
      <c r="DD27" s="78">
        <f t="shared" si="162"/>
        <v>4.0531490446429563E-2</v>
      </c>
      <c r="DE27" s="78">
        <f t="shared" si="162"/>
        <v>-1.1571185830709929E-2</v>
      </c>
      <c r="DF27" s="78">
        <f t="shared" si="162"/>
        <v>-5.1894286047643567E-2</v>
      </c>
      <c r="DG27" s="78">
        <f t="shared" si="162"/>
        <v>-1.4252741517467582E-3</v>
      </c>
      <c r="DH27" s="78">
        <f t="shared" si="162"/>
        <v>-6.4903247972391442E-2</v>
      </c>
      <c r="DI27" s="78">
        <f t="shared" si="162"/>
        <v>-5.2288997507698776E-2</v>
      </c>
      <c r="DJ27" s="78">
        <f t="shared" si="162"/>
        <v>-7.9394837184620926E-4</v>
      </c>
      <c r="DK27" s="78">
        <f t="shared" si="162"/>
        <v>0.1881397226915682</v>
      </c>
      <c r="DL27" s="78">
        <f t="shared" si="162"/>
        <v>0.11190454645674253</v>
      </c>
      <c r="DM27" s="78">
        <f t="shared" si="162"/>
        <v>2.5648806621683118E-3</v>
      </c>
      <c r="DN27" s="78">
        <f t="shared" si="162"/>
        <v>-0.10007247724812451</v>
      </c>
      <c r="DO27" s="78">
        <f t="shared" si="162"/>
        <v>6.7743805592189732E-2</v>
      </c>
      <c r="DP27" s="78">
        <f t="shared" si="162"/>
        <v>-8.4904496074323932E-3</v>
      </c>
      <c r="DQ27" s="78">
        <f t="shared" si="162"/>
        <v>8.9127348970756692E-3</v>
      </c>
      <c r="DR27" s="78">
        <f t="shared" si="162"/>
        <v>4.8332805773007248E-2</v>
      </c>
      <c r="DS27" s="78">
        <f t="shared" si="162"/>
        <v>0.20559206940312391</v>
      </c>
      <c r="DT27" s="78">
        <f t="shared" si="162"/>
        <v>2.7199068038765928E-2</v>
      </c>
      <c r="DU27" s="78">
        <f t="shared" si="162"/>
        <v>-1.9031289416325148E-2</v>
      </c>
      <c r="DV27" s="78">
        <f>DV16/DJ16-1</f>
        <v>4.7061339637589183E-2</v>
      </c>
      <c r="DW27" s="78"/>
      <c r="DX27" s="78"/>
    </row>
    <row r="28" spans="1:130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130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130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</row>
    <row r="31" spans="1:130">
      <c r="X31" s="1"/>
      <c r="Y31" s="1"/>
      <c r="Z31" s="1"/>
      <c r="AA31" s="9"/>
      <c r="AB31" s="9"/>
      <c r="AC31" s="9"/>
      <c r="AD31" s="9"/>
      <c r="AE31" s="9"/>
      <c r="AF31" s="9"/>
      <c r="AG31" s="9"/>
      <c r="AH31" s="5"/>
      <c r="AI31" s="5"/>
      <c r="AJ31" s="5"/>
      <c r="AK31" s="5"/>
    </row>
    <row r="32" spans="1:130">
      <c r="X32" s="1"/>
      <c r="Y32" s="1"/>
      <c r="Z32" s="14"/>
      <c r="AA32" s="15"/>
      <c r="AB32" s="15"/>
      <c r="AC32" s="15"/>
      <c r="AD32" s="15"/>
      <c r="AE32" s="15"/>
      <c r="AF32" s="15"/>
      <c r="AG32" s="15"/>
      <c r="AH32" s="16"/>
      <c r="BI32" s="24"/>
    </row>
    <row r="33" spans="26:79">
      <c r="Z33" s="1"/>
      <c r="AA33" s="9"/>
      <c r="AB33" s="9"/>
      <c r="AC33" s="9"/>
      <c r="AD33" s="9"/>
      <c r="AE33" s="9"/>
      <c r="AF33" s="9"/>
      <c r="AG33" s="9"/>
      <c r="BI33" s="24"/>
    </row>
    <row r="34" spans="26:79">
      <c r="Z34" s="1"/>
      <c r="AA34" s="9"/>
      <c r="AB34" s="9"/>
      <c r="AC34" s="9"/>
      <c r="AD34" s="9"/>
      <c r="AE34" s="9"/>
      <c r="AF34" s="9"/>
      <c r="AG34" s="9"/>
      <c r="BD34" s="21"/>
      <c r="BI34" s="24"/>
    </row>
    <row r="35" spans="26:79">
      <c r="Z35" s="1"/>
      <c r="AA35" s="9"/>
      <c r="AB35" s="9"/>
      <c r="AC35" s="9"/>
      <c r="AD35" s="9"/>
      <c r="AE35" s="9"/>
      <c r="AF35" s="9"/>
      <c r="AG35" s="9"/>
      <c r="BI35" s="24"/>
    </row>
    <row r="36" spans="26:79">
      <c r="BI36" s="24"/>
    </row>
    <row r="37" spans="26:79">
      <c r="BI37" s="24"/>
      <c r="CA37" s="20"/>
    </row>
    <row r="38" spans="26:79">
      <c r="BI38" s="24"/>
    </row>
    <row r="39" spans="26:79">
      <c r="BI39" s="24"/>
    </row>
    <row r="40" spans="26:79">
      <c r="BI40" s="24"/>
    </row>
    <row r="41" spans="26:79">
      <c r="BI41" s="24"/>
    </row>
    <row r="42" spans="26:79">
      <c r="BI42" s="24"/>
    </row>
    <row r="43" spans="26:79">
      <c r="BI43" s="24"/>
    </row>
    <row r="44" spans="26:79">
      <c r="BI44" s="24"/>
    </row>
    <row r="45" spans="26:79">
      <c r="BI45" s="24"/>
    </row>
    <row r="46" spans="26:79">
      <c r="BI46" s="24"/>
    </row>
    <row r="47" spans="26:79">
      <c r="BI47" s="24"/>
    </row>
    <row r="48" spans="26:79">
      <c r="BI48" s="24"/>
    </row>
    <row r="49" spans="61:61">
      <c r="BI49" s="24"/>
    </row>
    <row r="50" spans="61:61">
      <c r="BI50" s="24"/>
    </row>
    <row r="51" spans="61:61">
      <c r="BI51" s="24"/>
    </row>
    <row r="52" spans="61:61">
      <c r="BI52" s="24"/>
    </row>
    <row r="53" spans="61:61">
      <c r="BI53" s="24"/>
    </row>
    <row r="54" spans="61:61">
      <c r="BI54" s="24"/>
    </row>
    <row r="55" spans="61:61">
      <c r="BI55" s="24"/>
    </row>
    <row r="56" spans="61:61">
      <c r="BI56" s="24"/>
    </row>
    <row r="57" spans="61:61">
      <c r="BI57" s="24"/>
    </row>
    <row r="58" spans="61:61">
      <c r="BI58" s="24"/>
    </row>
    <row r="59" spans="61:61">
      <c r="BI59" s="24"/>
    </row>
    <row r="60" spans="61:61">
      <c r="BI60" s="24"/>
    </row>
    <row r="61" spans="61:61">
      <c r="BI61" s="24"/>
    </row>
    <row r="62" spans="61:61">
      <c r="BI62" s="24"/>
    </row>
  </sheetData>
  <conditionalFormatting sqref="B28:Z29 B30:W30 X30:Y32 Z30:Z35">
    <cfRule type="cellIs" dxfId="15" priority="25" operator="lessThan">
      <formula>-0.0051</formula>
    </cfRule>
    <cfRule type="cellIs" dxfId="14" priority="26" operator="greaterThan">
      <formula>0.0051</formula>
    </cfRule>
  </conditionalFormatting>
  <conditionalFormatting sqref="B25:DX27">
    <cfRule type="cellIs" dxfId="13" priority="1" operator="lessThan">
      <formula>-0.0051</formula>
    </cfRule>
    <cfRule type="cellIs" dxfId="12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  <ignoredErrors>
    <ignoredError sqref="B13 C13:DW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2"/>
  <sheetViews>
    <sheetView zoomScale="175" zoomScaleNormal="175" workbookViewId="0">
      <pane xSplit="2" ySplit="1" topLeftCell="AO2" activePane="bottomRight" state="frozen"/>
      <selection pane="topRight" activeCell="C1" sqref="C1"/>
      <selection pane="bottomLeft" activeCell="A2" sqref="A2"/>
      <selection pane="bottomRight" activeCell="B9" sqref="B9"/>
    </sheetView>
  </sheetViews>
  <sheetFormatPr defaultRowHeight="18.5"/>
  <cols>
    <col min="1" max="1" width="19.1796875" style="4" bestFit="1" customWidth="1"/>
    <col min="2" max="2" width="39.26953125" style="2" bestFit="1" customWidth="1"/>
    <col min="3" max="4" width="11.54296875" style="5" hidden="1" customWidth="1"/>
    <col min="5" max="5" width="12.81640625" style="5" hidden="1" customWidth="1"/>
    <col min="6" max="12" width="11.54296875" style="5" hidden="1" customWidth="1"/>
    <col min="13" max="13" width="12.81640625" style="5" hidden="1" customWidth="1"/>
    <col min="14" max="14" width="11.54296875" style="5" hidden="1" customWidth="1"/>
    <col min="15" max="15" width="11.54296875" hidden="1" customWidth="1"/>
    <col min="16" max="16" width="11.453125" hidden="1" customWidth="1"/>
    <col min="17" max="17" width="12.81640625" hidden="1" customWidth="1"/>
    <col min="18" max="18" width="11.26953125" hidden="1" customWidth="1"/>
    <col min="19" max="19" width="12.7265625" hidden="1" customWidth="1"/>
    <col min="20" max="20" width="11.1796875" hidden="1" customWidth="1"/>
    <col min="21" max="21" width="11" hidden="1" customWidth="1"/>
    <col min="22" max="22" width="11.54296875" hidden="1" customWidth="1"/>
    <col min="23" max="24" width="14.453125" hidden="1" customWidth="1"/>
    <col min="25" max="25" width="11.7265625" hidden="1" customWidth="1"/>
    <col min="26" max="26" width="11.54296875" hidden="1" customWidth="1"/>
    <col min="27" max="27" width="11.453125" hidden="1" customWidth="1"/>
    <col min="28" max="28" width="11.7265625" hidden="1" customWidth="1"/>
    <col min="29" max="29" width="12.81640625" hidden="1" customWidth="1"/>
    <col min="30" max="30" width="11.54296875" hidden="1" customWidth="1"/>
    <col min="31" max="31" width="12" hidden="1" customWidth="1"/>
    <col min="32" max="32" width="11" hidden="1" customWidth="1"/>
    <col min="33" max="33" width="12" hidden="1" customWidth="1"/>
    <col min="34" max="34" width="12.7265625" hidden="1" customWidth="1"/>
    <col min="35" max="35" width="11.7265625" hidden="1" customWidth="1"/>
    <col min="36" max="37" width="11.453125" hidden="1" customWidth="1"/>
    <col min="38" max="38" width="11.54296875" hidden="1" customWidth="1"/>
    <col min="39" max="42" width="10.36328125" bestFit="1" customWidth="1"/>
    <col min="43" max="43" width="11.54296875" customWidth="1"/>
    <col min="44" max="45" width="10.36328125" bestFit="1" customWidth="1"/>
  </cols>
  <sheetData>
    <row r="1" spans="1:45" ht="19" thickBot="1">
      <c r="A1" s="6"/>
      <c r="B1" s="25" t="s">
        <v>25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29</v>
      </c>
      <c r="P1" s="8" t="s">
        <v>30</v>
      </c>
      <c r="Q1" s="8" t="s">
        <v>32</v>
      </c>
      <c r="R1" s="8" t="s">
        <v>33</v>
      </c>
      <c r="S1" s="8" t="s">
        <v>34</v>
      </c>
      <c r="T1" s="8" t="s">
        <v>35</v>
      </c>
      <c r="U1" s="8" t="s">
        <v>36</v>
      </c>
      <c r="V1" s="8" t="s">
        <v>38</v>
      </c>
      <c r="W1" s="23" t="s">
        <v>40</v>
      </c>
      <c r="X1" s="23" t="s">
        <v>41</v>
      </c>
      <c r="Y1" s="23" t="s">
        <v>42</v>
      </c>
      <c r="Z1" s="23" t="s">
        <v>43</v>
      </c>
      <c r="AA1" s="23" t="s">
        <v>45</v>
      </c>
      <c r="AB1" s="23" t="s">
        <v>46</v>
      </c>
      <c r="AC1" s="23" t="s">
        <v>47</v>
      </c>
      <c r="AD1" s="23" t="s">
        <v>48</v>
      </c>
      <c r="AE1" s="23" t="s">
        <v>50</v>
      </c>
      <c r="AF1" s="23" t="s">
        <v>51</v>
      </c>
      <c r="AG1" s="23" t="s">
        <v>52</v>
      </c>
      <c r="AH1" s="23" t="s">
        <v>53</v>
      </c>
      <c r="AI1" s="23" t="s">
        <v>55</v>
      </c>
      <c r="AJ1" s="23" t="s">
        <v>56</v>
      </c>
      <c r="AK1" s="23" t="s">
        <v>57</v>
      </c>
      <c r="AL1" s="23" t="s">
        <v>58</v>
      </c>
      <c r="AM1" s="23" t="s">
        <v>60</v>
      </c>
      <c r="AN1" s="23" t="s">
        <v>61</v>
      </c>
      <c r="AO1" s="23" t="s">
        <v>62</v>
      </c>
      <c r="AP1" s="23" t="s">
        <v>63</v>
      </c>
      <c r="AQ1" s="23" t="s">
        <v>65</v>
      </c>
      <c r="AR1" s="23" t="s">
        <v>83</v>
      </c>
      <c r="AS1" s="23" t="s">
        <v>85</v>
      </c>
    </row>
    <row r="2" spans="1:45" s="13" customFormat="1" ht="19" thickTop="1">
      <c r="A2" s="11"/>
      <c r="B2" s="31" t="s">
        <v>15</v>
      </c>
      <c r="C2" s="12">
        <f>SUM(Monthly!B2:D2)</f>
        <v>2329586.6467300002</v>
      </c>
      <c r="D2" s="12">
        <f>SUM(Monthly!E2:G2)</f>
        <v>863602.94001999998</v>
      </c>
      <c r="E2" s="12">
        <f>SUM(Monthly!H2:J2)</f>
        <v>569251.38909000007</v>
      </c>
      <c r="F2" s="12">
        <f>SUM(Monthly!K2:M2)</f>
        <v>1767068.1912500001</v>
      </c>
      <c r="G2" s="12">
        <f>SUM(Monthly!N2:P2)</f>
        <v>2033695.8364500003</v>
      </c>
      <c r="H2" s="12">
        <f>SUM(Monthly!Q2:S2)</f>
        <v>943904.75400000007</v>
      </c>
      <c r="I2" s="12">
        <f>SUM(Monthly!T2:V2)</f>
        <v>647527.70854000002</v>
      </c>
      <c r="J2" s="12">
        <f>SUM(Monthly!W2:Y2)</f>
        <v>1608680.96337</v>
      </c>
      <c r="K2" s="12">
        <f>SUM(Monthly!Z2:AB2)</f>
        <v>2257643.2679599999</v>
      </c>
      <c r="L2" s="12">
        <f>SUM(Monthly!AC2:AE2)</f>
        <v>800505.2346630001</v>
      </c>
      <c r="M2" s="12">
        <f>SUM(Monthly!AF2:AH2)</f>
        <v>595505.23209000006</v>
      </c>
      <c r="N2" s="18">
        <f>SUM(Monthly!AI2:AK2)</f>
        <v>1587382.93</v>
      </c>
      <c r="O2" s="18">
        <f>SUM(Monthly!AL2:AN2)</f>
        <v>1919911.7379999999</v>
      </c>
      <c r="P2" s="18">
        <f>SUM(Monthly!AO2:AQ2)</f>
        <v>802828.37600000005</v>
      </c>
      <c r="Q2" s="18">
        <f>SUM(Monthly!AR2:AT2)</f>
        <v>639492.46500000008</v>
      </c>
      <c r="R2" s="18">
        <f>SUM(Monthly!AU2:AW2)</f>
        <v>1446108.2960000001</v>
      </c>
      <c r="S2" s="18">
        <f>SUM(Monthly!AX2:AZ2)</f>
        <v>4277137.3619999997</v>
      </c>
      <c r="T2" s="18">
        <f>SUM(Monthly!BA2:BC2)</f>
        <v>2704243.0089999996</v>
      </c>
      <c r="U2" s="18">
        <f>SUM(Monthly!BD2:BF2)</f>
        <v>1907334.8190000001</v>
      </c>
      <c r="V2" s="18">
        <f>SUM(Monthly!BG2:BI2)</f>
        <v>4089206.5100000002</v>
      </c>
      <c r="W2" s="18">
        <f>SUM(Monthly!BJ2:BL2)</f>
        <v>4607267.2859999994</v>
      </c>
      <c r="X2" s="18">
        <f>SUM(Monthly!BM2:BO2)</f>
        <v>2209980.5510000004</v>
      </c>
      <c r="Y2" s="18">
        <f>SUM(Monthly!BP2:BR2)</f>
        <v>1557308.3590000002</v>
      </c>
      <c r="Z2" s="18">
        <f>SUM(Monthly!BS2:BU2)</f>
        <v>2996644.8190000001</v>
      </c>
      <c r="AA2" s="18">
        <f>SUM(Monthly!BV2:BX2)</f>
        <v>3698582.2129999995</v>
      </c>
      <c r="AB2" s="43">
        <f>SUM(Monthly!BY2:CA2)</f>
        <v>2267596.9759999998</v>
      </c>
      <c r="AC2" s="43">
        <f>SUM(Monthly!CB2:CD2)</f>
        <v>2516688.2829999998</v>
      </c>
      <c r="AD2" s="43">
        <f>SUM(Monthly!CE2:CG2)</f>
        <v>3031345.429</v>
      </c>
      <c r="AE2" s="43">
        <f>SUM(Monthly!CH2:CJ2)</f>
        <v>4342261.0959999999</v>
      </c>
      <c r="AF2" s="43">
        <f>SUM(Monthly!CK2:CM2)</f>
        <v>2778381.2710000002</v>
      </c>
      <c r="AG2" s="43">
        <f>SUM(Monthly!CN2:CP2)</f>
        <v>2189513.13</v>
      </c>
      <c r="AH2" s="43">
        <f>SUM(Monthly!CQ2:CS2)</f>
        <v>1493562.148</v>
      </c>
      <c r="AI2" s="43">
        <f>SUM(Monthly!CT2:CV2)</f>
        <v>1596002.6140000001</v>
      </c>
      <c r="AJ2" s="43">
        <f>SUM(Monthly!CW2:CY2)</f>
        <v>4376054.6359999999</v>
      </c>
      <c r="AK2" s="43">
        <f>SUM(Monthly!CZ2:DB2)</f>
        <v>2490483.0469999998</v>
      </c>
      <c r="AL2" s="43">
        <f>SUM(Monthly!DC2:DE2)</f>
        <v>2275802.4019999998</v>
      </c>
      <c r="AM2" s="43">
        <f>SUM(Monthly!DF2:DH2)</f>
        <v>4468381.3619999997</v>
      </c>
      <c r="AN2" s="43">
        <f>SUM(Monthly!DI2:DK2)</f>
        <v>2120707.602</v>
      </c>
      <c r="AO2" s="43">
        <f>SUM(Monthly!DL2:DN2)</f>
        <v>3167707.1260000002</v>
      </c>
      <c r="AP2" s="43">
        <f>SUM(Monthly!DO2:DQ2)</f>
        <v>2325676.0949999997</v>
      </c>
      <c r="AQ2" s="43">
        <f>SUM(Monthly!DR2:DT2)</f>
        <v>5309340.8830000004</v>
      </c>
      <c r="AR2" s="43">
        <f>SUM(Monthly!DU2:DW2)</f>
        <v>3178863.5729999999</v>
      </c>
      <c r="AS2" s="43">
        <f>SUM(Monthly!DX2:DZ2)</f>
        <v>1416532.7280000001</v>
      </c>
    </row>
    <row r="3" spans="1:45" ht="17">
      <c r="A3" s="68"/>
      <c r="B3" s="28" t="s">
        <v>16</v>
      </c>
      <c r="C3" s="87">
        <f>SUM(Monthly!B3:D3)</f>
        <v>2329050.6321400004</v>
      </c>
      <c r="D3" s="87">
        <f>SUM(Monthly!E3:G3)</f>
        <v>706307.89107999986</v>
      </c>
      <c r="E3" s="87">
        <f>SUM(Monthly!H3:J3)</f>
        <v>243646.72568999999</v>
      </c>
      <c r="F3" s="87">
        <f>SUM(Monthly!K3:M3)</f>
        <v>204174.65630999999</v>
      </c>
      <c r="G3" s="87">
        <f>SUM(Monthly!N3:P3)</f>
        <v>260855.03102999998</v>
      </c>
      <c r="H3" s="87">
        <f>SUM(Monthly!Q3:S3)</f>
        <v>329345.28399999999</v>
      </c>
      <c r="I3" s="87">
        <f>SUM(Monthly!T3:V3)</f>
        <v>385909.02399999998</v>
      </c>
      <c r="J3" s="87">
        <f>SUM(Monthly!W3:Y3)</f>
        <v>590224.75300000003</v>
      </c>
      <c r="K3" s="87">
        <f>SUM(Monthly!Z3:AB3)</f>
        <v>738466.679</v>
      </c>
      <c r="L3" s="87">
        <f>SUM(Monthly!AC3:AE3)</f>
        <v>172643.22366699998</v>
      </c>
      <c r="M3" s="87">
        <f>SUM(Monthly!AF3:AH3)</f>
        <v>949.76</v>
      </c>
      <c r="N3" s="17">
        <f>SUM(Monthly!AI3:AK3)</f>
        <v>211600.32799999998</v>
      </c>
      <c r="O3" s="17">
        <f>SUM(Monthly!AL3:AN3)</f>
        <v>1155122.7150000001</v>
      </c>
      <c r="P3" s="17">
        <f>SUM(Monthly!AO3:AQ3)</f>
        <v>95412.581000000006</v>
      </c>
      <c r="Q3" s="17">
        <f>SUM(Monthly!AR3:AT3)</f>
        <v>33225.521000000001</v>
      </c>
      <c r="R3" s="17">
        <f>SUM(Monthly!AU3:AW3)</f>
        <v>1166121.585</v>
      </c>
      <c r="S3" s="17">
        <f>SUM(Monthly!AX3:AZ3)</f>
        <v>3609293.4879999999</v>
      </c>
      <c r="T3" s="17">
        <f>SUM(Monthly!BA3:BC3)</f>
        <v>1719993.7310000001</v>
      </c>
      <c r="U3" s="17">
        <f>SUM(Monthly!BD3:BF3)</f>
        <v>1413185.4509999999</v>
      </c>
      <c r="V3" s="17">
        <f>SUM(Monthly!BG3:BI3)</f>
        <v>3358183.4040000001</v>
      </c>
      <c r="W3" s="17">
        <f>SUM(Monthly!BJ3:BL3)</f>
        <v>4446107.3319999995</v>
      </c>
      <c r="X3" s="17">
        <f>SUM(Monthly!BM3:BO3)</f>
        <v>1961605.3590000002</v>
      </c>
      <c r="Y3" s="17">
        <f>SUM(Monthly!BP3:BR3)</f>
        <v>1179500.852</v>
      </c>
      <c r="Z3" s="17">
        <f>SUM(Monthly!BS3:BU3)</f>
        <v>2938356.236</v>
      </c>
      <c r="AA3" s="17">
        <f>SUM(Monthly!BV3:BX3)</f>
        <v>2916715.7379999999</v>
      </c>
      <c r="AB3" s="17">
        <f>SUM(Monthly!BY3:CA3)</f>
        <v>2047798.9670000002</v>
      </c>
      <c r="AC3" s="17">
        <f>SUM(Monthly!CB3:CD3)</f>
        <v>2516633.2429999998</v>
      </c>
      <c r="AD3" s="17">
        <f>SUM(Monthly!CE3:CG3)</f>
        <v>3030986.3140000002</v>
      </c>
      <c r="AE3" s="17">
        <f>SUM(Monthly!CH3:CJ3)</f>
        <v>4286791.2709999997</v>
      </c>
      <c r="AF3" s="17">
        <f>SUM(Monthly!CK3:CM3)</f>
        <v>105400.00700000001</v>
      </c>
      <c r="AG3" s="17">
        <f>SUM(Monthly!CN3:CP3)</f>
        <v>103792.689</v>
      </c>
      <c r="AH3" s="17">
        <f>SUM(Monthly!CQ3:CS3)</f>
        <v>1226709.79</v>
      </c>
      <c r="AI3" s="17">
        <f>SUM(Monthly!CT3:CV3)</f>
        <v>1595578.6310000001</v>
      </c>
      <c r="AJ3" s="17">
        <f>SUM(Monthly!CW3:CY3)</f>
        <v>242961.90300000002</v>
      </c>
      <c r="AK3" s="17">
        <f>SUM(Monthly!CZ3:DB3)</f>
        <v>210420.448</v>
      </c>
      <c r="AL3" s="88">
        <f>SUM(Monthly!DC3:DE3)</f>
        <v>1895122.0790000001</v>
      </c>
      <c r="AM3" s="88">
        <f>SUM(Monthly!DF3:DH3)</f>
        <v>4431213.5559999999</v>
      </c>
      <c r="AN3" s="88">
        <f>SUM(Monthly!DI3:DK3)</f>
        <v>1038309.373</v>
      </c>
      <c r="AO3" s="88">
        <f>SUM(Monthly!DL3:DN3)</f>
        <v>1609748.87</v>
      </c>
      <c r="AP3" s="88">
        <f>SUM(Monthly!DO3:DQ3)</f>
        <v>1429217.2050000001</v>
      </c>
      <c r="AQ3" s="88">
        <f>SUM(Monthly!DR3:DT3)</f>
        <v>4998265.6229999997</v>
      </c>
      <c r="AR3" s="88">
        <f>SUM(Monthly!DU3:DW3)</f>
        <v>1498903.0010000002</v>
      </c>
      <c r="AS3" s="88">
        <f>SUM(Monthly!DX3:DZ3)</f>
        <v>1021624.3900000001</v>
      </c>
    </row>
    <row r="4" spans="1:45" ht="17" hidden="1">
      <c r="A4" s="68"/>
      <c r="B4" s="28" t="s">
        <v>17</v>
      </c>
      <c r="C4" s="87">
        <f>SUM(Monthly!B4:D4)</f>
        <v>0</v>
      </c>
      <c r="D4" s="87">
        <f>SUM(Monthly!E4:G4)</f>
        <v>157166.61359999998</v>
      </c>
      <c r="E4" s="87">
        <f>SUM(Monthly!H4:J4)</f>
        <v>325553.96074000001</v>
      </c>
      <c r="F4" s="87">
        <f>SUM(Monthly!K4:M4)</f>
        <v>1562465.9479700001</v>
      </c>
      <c r="G4" s="87">
        <f>SUM(Monthly!N4:P4)</f>
        <v>1772357.7189700003</v>
      </c>
      <c r="H4" s="87">
        <f>SUM(Monthly!Q4:S4)</f>
        <v>614379.90700000001</v>
      </c>
      <c r="I4" s="87">
        <f>SUM(Monthly!T4:V4)</f>
        <v>261557.12299999999</v>
      </c>
      <c r="J4" s="87">
        <f>SUM(Monthly!W4:Y4)</f>
        <v>1018061.92605</v>
      </c>
      <c r="K4" s="87">
        <f>SUM(Monthly!Z4:AB4)</f>
        <v>1518633.953</v>
      </c>
      <c r="L4" s="87">
        <f>SUM(Monthly!AC4:AE4)</f>
        <v>474688.33200000005</v>
      </c>
      <c r="M4" s="87">
        <f>SUM(Monthly!AF4:AH4)</f>
        <v>345176.43200000003</v>
      </c>
      <c r="N4" s="17">
        <f>SUM(Monthly!AI4:AK4)</f>
        <v>1375394.8359999999</v>
      </c>
      <c r="O4" s="17">
        <f>SUM(Monthly!AL4:AN4)</f>
        <v>764300.51900000009</v>
      </c>
      <c r="P4" s="17">
        <f>SUM(Monthly!AO4:AQ4)</f>
        <v>707293.02599999995</v>
      </c>
      <c r="Q4" s="17">
        <f>SUM(Monthly!AR4:AT4)</f>
        <v>606204.08000000007</v>
      </c>
      <c r="R4" s="17">
        <f>SUM(Monthly!AU4:AW4)</f>
        <v>279599.67300000001</v>
      </c>
      <c r="S4" s="17">
        <f>SUM(Monthly!AX4:AZ4)</f>
        <v>667419.2620000001</v>
      </c>
      <c r="T4" s="17">
        <f>SUM(Monthly!BA4:BC4)</f>
        <v>984068.03500000003</v>
      </c>
      <c r="U4" s="17">
        <f>SUM(Monthly!BD4:BF4)</f>
        <v>494090.74399999995</v>
      </c>
      <c r="V4" s="17">
        <f>SUM(Monthly!BG4:BI4)</f>
        <v>730640.65500000003</v>
      </c>
      <c r="W4" s="17">
        <f>SUM(Monthly!BJ4:BL4)</f>
        <v>154097.894</v>
      </c>
      <c r="X4" s="17">
        <f>SUM(Monthly!BM4:BO4)</f>
        <v>242215.90399999998</v>
      </c>
      <c r="Y4" s="17">
        <f>SUM(Monthly!BP4:BR4)</f>
        <v>377724.10800000001</v>
      </c>
      <c r="Z4" s="17">
        <f>SUM(Monthly!BS4:BU4)</f>
        <v>2331.6630000000005</v>
      </c>
      <c r="AA4" s="17">
        <f>SUM(Monthly!BV4:BX4)</f>
        <v>400710.13399999996</v>
      </c>
      <c r="AB4" s="17">
        <f>SUM(Monthly!BY4:CA4)</f>
        <v>0</v>
      </c>
      <c r="AC4" s="17">
        <f>SUM(Monthly!CB4:CD4)</f>
        <v>0</v>
      </c>
      <c r="AD4" s="17">
        <f>SUM(Monthly!CE4:CG4)</f>
        <v>0</v>
      </c>
      <c r="AE4" s="17">
        <f>SUM(Monthly!CH4:CJ4)</f>
        <v>0</v>
      </c>
      <c r="AF4" s="17">
        <f>SUM(Monthly!CK4:CM4)</f>
        <v>0</v>
      </c>
      <c r="AG4" s="17">
        <f>SUM(Monthly!CN4:CP4)</f>
        <v>0</v>
      </c>
      <c r="AH4" s="17">
        <f>SUM(Monthly!CQ4:CS4)</f>
        <v>0</v>
      </c>
      <c r="AI4" s="17">
        <f>SUM(Monthly!CT4:CV4)</f>
        <v>0</v>
      </c>
      <c r="AJ4" s="17">
        <f>SUM(Monthly!CW4:CY4)</f>
        <v>0</v>
      </c>
      <c r="AK4" s="17">
        <f>SUM(Monthly!CZ4:DB4)</f>
        <v>0</v>
      </c>
      <c r="AL4" s="88">
        <f>SUM(Monthly!DC4:DE4)</f>
        <v>0</v>
      </c>
      <c r="AM4" s="88">
        <f>SUM(Monthly!DF4:DH4)</f>
        <v>0</v>
      </c>
      <c r="AN4" s="88">
        <f>SUM(Monthly!DI4:DK4)</f>
        <v>0</v>
      </c>
      <c r="AO4" s="88">
        <f>SUM(Monthly!DL4:DN4)</f>
        <v>0</v>
      </c>
      <c r="AP4" s="88">
        <f>SUM(Monthly!DO4:DQ4)</f>
        <v>0</v>
      </c>
      <c r="AQ4" s="88">
        <f>SUM(Monthly!DR4:DT4)</f>
        <v>0</v>
      </c>
      <c r="AR4" s="88">
        <f>SUM(Monthly!DU4:DW4)</f>
        <v>0</v>
      </c>
      <c r="AS4" s="88">
        <f>SUM(Monthly!DX4:DZ4)</f>
        <v>0</v>
      </c>
    </row>
    <row r="5" spans="1:45" ht="17" hidden="1">
      <c r="A5" s="68"/>
      <c r="B5" s="28" t="s">
        <v>18</v>
      </c>
      <c r="C5" s="87">
        <f>SUM(Monthly!B5:D5)</f>
        <v>0</v>
      </c>
      <c r="D5" s="87">
        <f>SUM(Monthly!E5:G5)</f>
        <v>0</v>
      </c>
      <c r="E5" s="87">
        <f>SUM(Monthly!H5:J5)</f>
        <v>0</v>
      </c>
      <c r="F5" s="87">
        <f>SUM(Monthly!K5:M5)</f>
        <v>0</v>
      </c>
      <c r="G5" s="87">
        <f>SUM(Monthly!N5:P5)</f>
        <v>0</v>
      </c>
      <c r="H5" s="87">
        <f>SUM(Monthly!Q5:S5)</f>
        <v>0</v>
      </c>
      <c r="I5" s="87">
        <f>SUM(Monthly!T5:V5)</f>
        <v>0</v>
      </c>
      <c r="J5" s="87">
        <f>SUM(Monthly!W5:Y5)</f>
        <v>0</v>
      </c>
      <c r="K5" s="87">
        <f>SUM(Monthly!Z5:AB5)</f>
        <v>0</v>
      </c>
      <c r="L5" s="87">
        <f>SUM(Monthly!AC5:AE5)</f>
        <v>153060.469996</v>
      </c>
      <c r="M5" s="87">
        <f>SUM(Monthly!AF5:AH5)</f>
        <v>249335.79109000001</v>
      </c>
      <c r="N5" s="17">
        <f>SUM(Monthly!AI5:AK5)</f>
        <v>0</v>
      </c>
      <c r="O5" s="17">
        <f>SUM(Monthly!AL5:AN5)</f>
        <v>0</v>
      </c>
      <c r="P5" s="17">
        <f>SUM(Monthly!AO5:AQ5)</f>
        <v>0</v>
      </c>
      <c r="Q5" s="17">
        <f>SUM(Monthly!AR5:AT5)</f>
        <v>0</v>
      </c>
      <c r="R5" s="17">
        <f>SUM(Monthly!AU5:AW5)</f>
        <v>0</v>
      </c>
      <c r="S5" s="17">
        <f>SUM(Monthly!AX5:AZ5)</f>
        <v>0</v>
      </c>
      <c r="T5" s="17">
        <f>SUM(Monthly!BA5:BC5)</f>
        <v>0</v>
      </c>
      <c r="U5" s="17">
        <f>SUM(Monthly!BD5:BF5)</f>
        <v>0</v>
      </c>
      <c r="V5" s="17">
        <f>SUM(Monthly!BG5:BI5)</f>
        <v>0</v>
      </c>
      <c r="W5" s="17">
        <f>SUM(Monthly!BJ5:BL5)</f>
        <v>0</v>
      </c>
      <c r="X5" s="17">
        <f>SUM(Monthly!BM5:BO5)</f>
        <v>0</v>
      </c>
      <c r="Y5" s="17">
        <f>SUM(Monthly!BP5:BR5)</f>
        <v>0</v>
      </c>
      <c r="Z5" s="17">
        <f>SUM(Monthly!BS5:BU5)</f>
        <v>0</v>
      </c>
      <c r="AA5" s="17">
        <f>SUM(Monthly!BV5:BX5)</f>
        <v>0</v>
      </c>
      <c r="AB5" s="17">
        <f>SUM(Monthly!BY5:CA5)</f>
        <v>0</v>
      </c>
      <c r="AC5" s="17">
        <f>SUM(Monthly!CB5:CD5)</f>
        <v>0</v>
      </c>
      <c r="AD5" s="17">
        <f>SUM(Monthly!CE5:CG5)</f>
        <v>0</v>
      </c>
      <c r="AE5" s="17">
        <f>SUM(Monthly!CH5:CJ5)</f>
        <v>0</v>
      </c>
      <c r="AF5" s="17">
        <f>SUM(Monthly!CK5:CM5)</f>
        <v>0</v>
      </c>
      <c r="AG5" s="17">
        <f>SUM(Monthly!CN5:CP5)</f>
        <v>0</v>
      </c>
      <c r="AH5" s="17">
        <f>SUM(Monthly!CQ5:CS5)</f>
        <v>0</v>
      </c>
      <c r="AI5" s="17">
        <f>SUM(Monthly!CT5:CV5)</f>
        <v>0</v>
      </c>
      <c r="AJ5" s="17">
        <f>SUM(Monthly!CW5:CY5)</f>
        <v>0</v>
      </c>
      <c r="AK5" s="17">
        <f>SUM(Monthly!CZ5:DB5)</f>
        <v>0</v>
      </c>
      <c r="AL5" s="88">
        <f>SUM(Monthly!DC5:DE5)</f>
        <v>0</v>
      </c>
      <c r="AM5" s="88">
        <f>SUM(Monthly!DF5:DH5)</f>
        <v>0</v>
      </c>
      <c r="AN5" s="88">
        <f>SUM(Monthly!DI5:DK5)</f>
        <v>0</v>
      </c>
      <c r="AO5" s="88">
        <f>SUM(Monthly!DL5:DN5)</f>
        <v>0</v>
      </c>
      <c r="AP5" s="88">
        <f>SUM(Monthly!DO5:DQ5)</f>
        <v>0</v>
      </c>
      <c r="AQ5" s="88">
        <f>SUM(Monthly!DR5:DT5)</f>
        <v>0</v>
      </c>
      <c r="AR5" s="88">
        <f>SUM(Monthly!DU5:DW5)</f>
        <v>0</v>
      </c>
      <c r="AS5" s="88">
        <f>SUM(Monthly!DX5:DZ5)</f>
        <v>0</v>
      </c>
    </row>
    <row r="6" spans="1:45" ht="17">
      <c r="A6" s="68"/>
      <c r="B6" s="28" t="s">
        <v>19</v>
      </c>
      <c r="C6" s="87">
        <f>SUM(Monthly!B6:D6)</f>
        <v>536.01459</v>
      </c>
      <c r="D6" s="87">
        <f>SUM(Monthly!E6:G6)</f>
        <v>128.43534</v>
      </c>
      <c r="E6" s="87">
        <f>SUM(Monthly!H6:J6)</f>
        <v>50.702660000000002</v>
      </c>
      <c r="F6" s="87">
        <f>SUM(Monthly!K6:M6)</f>
        <v>427.58697000000006</v>
      </c>
      <c r="G6" s="87">
        <f>SUM(Monthly!N6:P6)</f>
        <v>483.08644999999996</v>
      </c>
      <c r="H6" s="87">
        <f>SUM(Monthly!Q6:S6)</f>
        <v>179.56300000000002</v>
      </c>
      <c r="I6" s="87">
        <f>SUM(Monthly!T6:V6)</f>
        <v>61.561539999999994</v>
      </c>
      <c r="J6" s="87">
        <f>SUM(Monthly!W6:Y6)</f>
        <v>394.28431999999998</v>
      </c>
      <c r="K6" s="87">
        <f>SUM(Monthly!Z6:AB6)</f>
        <v>542.63595999999995</v>
      </c>
      <c r="L6" s="87">
        <f>SUM(Monthly!AC6:AE6)</f>
        <v>113.209</v>
      </c>
      <c r="M6" s="87">
        <f>SUM(Monthly!AF6:AH6)</f>
        <v>43.248999999999995</v>
      </c>
      <c r="N6" s="17">
        <f>SUM(Monthly!AI6:AK6)</f>
        <v>387.76600000000002</v>
      </c>
      <c r="O6" s="17">
        <f>SUM(Monthly!AL6:AN6)</f>
        <v>488.50400000000002</v>
      </c>
      <c r="P6" s="17">
        <f>SUM(Monthly!AO6:AQ6)</f>
        <v>122.76900000000001</v>
      </c>
      <c r="Q6" s="17">
        <f>SUM(Monthly!AR6:AT6)</f>
        <v>62.864000000000004</v>
      </c>
      <c r="R6" s="17">
        <f>SUM(Monthly!AU6:AW6)</f>
        <v>387.03800000000001</v>
      </c>
      <c r="S6" s="17">
        <f>SUM(Monthly!AX6:AZ6)</f>
        <v>424.61199999999997</v>
      </c>
      <c r="T6" s="17">
        <f>SUM(Monthly!BA6:BC6)</f>
        <v>181.24299999999999</v>
      </c>
      <c r="U6" s="17">
        <f>SUM(Monthly!BD6:BF6)</f>
        <v>58.623999999999995</v>
      </c>
      <c r="V6" s="17">
        <f>SUM(Monthly!BG6:BI6)</f>
        <v>382.45100000000002</v>
      </c>
      <c r="W6" s="17">
        <f>SUM(Monthly!BJ6:BL6)</f>
        <v>556.73500000000001</v>
      </c>
      <c r="X6" s="17">
        <f>SUM(Monthly!BM6:BO6)</f>
        <v>169.798</v>
      </c>
      <c r="Y6" s="17">
        <f>SUM(Monthly!BP6:BR6)</f>
        <v>83.399000000000001</v>
      </c>
      <c r="Z6" s="17">
        <f>SUM(Monthly!BS6:BU6)</f>
        <v>425.44200000000001</v>
      </c>
      <c r="AA6" s="17">
        <f>SUM(Monthly!BV6:BX6)</f>
        <v>485.24699999999996</v>
      </c>
      <c r="AB6" s="17">
        <f>SUM(Monthly!BY6:CA6)</f>
        <v>171.15199999999999</v>
      </c>
      <c r="AC6" s="17">
        <f>SUM(Monthly!CB6:CD6)</f>
        <v>55.04</v>
      </c>
      <c r="AD6" s="17">
        <f>SUM(Monthly!CE6:CG6)</f>
        <v>359.11500000000001</v>
      </c>
      <c r="AE6" s="17">
        <f>SUM(Monthly!CH6:CJ6)</f>
        <v>432.52800000000002</v>
      </c>
      <c r="AF6" s="17">
        <f>SUM(Monthly!CK6:CM6)</f>
        <v>114.584</v>
      </c>
      <c r="AG6" s="17">
        <f>SUM(Monthly!CN6:CP6)</f>
        <v>21.125</v>
      </c>
      <c r="AH6" s="17">
        <f>SUM(Monthly!CQ6:CS6)</f>
        <v>341.75099999999998</v>
      </c>
      <c r="AI6" s="17">
        <f>SUM(Monthly!CT6:CV6)</f>
        <v>423.983</v>
      </c>
      <c r="AJ6" s="17">
        <f>SUM(Monthly!CW6:CY6)</f>
        <v>103.72999999999999</v>
      </c>
      <c r="AK6" s="17">
        <f>SUM(Monthly!CZ6:DB6)</f>
        <v>16.518000000000001</v>
      </c>
      <c r="AL6" s="88">
        <f>SUM(Monthly!DC6:DE6)</f>
        <v>280.24700000000001</v>
      </c>
      <c r="AM6" s="88">
        <f>SUM(Monthly!DF6:DH6)</f>
        <v>361.85</v>
      </c>
      <c r="AN6" s="88">
        <f>SUM(Monthly!DI6:DK6)</f>
        <v>123.809</v>
      </c>
      <c r="AO6" s="88">
        <f>SUM(Monthly!DL6:DN6)</f>
        <v>25.126999999999999</v>
      </c>
      <c r="AP6" s="88">
        <f>SUM(Monthly!DO6:DQ6)</f>
        <v>301.61</v>
      </c>
      <c r="AQ6" s="88">
        <f>SUM(Monthly!DR6:DT6)</f>
        <v>453.08800000000002</v>
      </c>
      <c r="AR6" s="88">
        <f>SUM(Monthly!DU6:DW6)</f>
        <v>106.32899999999999</v>
      </c>
      <c r="AS6" s="88">
        <f>SUM(Monthly!DX6:DZ6)</f>
        <v>28.679000000000002</v>
      </c>
    </row>
    <row r="7" spans="1:45" ht="17">
      <c r="A7" s="68"/>
      <c r="B7" s="28" t="s">
        <v>31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17"/>
      <c r="O7" s="17"/>
      <c r="P7" s="17"/>
      <c r="Q7" s="17"/>
      <c r="R7" s="17"/>
      <c r="S7" s="17"/>
      <c r="T7" s="17">
        <v>0</v>
      </c>
      <c r="U7" s="17">
        <v>0</v>
      </c>
      <c r="V7" s="17">
        <v>0</v>
      </c>
      <c r="W7" s="17">
        <f>SUM(Monthly!BJ7:BL7)</f>
        <v>6505.3249999999998</v>
      </c>
      <c r="X7" s="17">
        <f>SUM(Monthly!BM7:BO7)</f>
        <v>5989.49</v>
      </c>
      <c r="Y7" s="17">
        <f>SUM(Monthly!BP7:BR7)</f>
        <v>0</v>
      </c>
      <c r="Z7" s="17">
        <f>SUM(Monthly!BS7:BU7)</f>
        <v>55531.478000000003</v>
      </c>
      <c r="AA7" s="17">
        <f>SUM(Monthly!BV7:BX7)</f>
        <v>380671.09399999998</v>
      </c>
      <c r="AB7" s="17">
        <f>SUM(Monthly!BY7:CA7)</f>
        <v>219626.85699999999</v>
      </c>
      <c r="AC7" s="17">
        <f>SUM(Monthly!CB7:CD7)</f>
        <v>0</v>
      </c>
      <c r="AD7" s="17">
        <f>SUM(Monthly!CE7:CG7)</f>
        <v>0</v>
      </c>
      <c r="AE7" s="17">
        <f>SUM(Monthly!CH7:CJ7)</f>
        <v>55037.296999999999</v>
      </c>
      <c r="AF7" s="17">
        <f>SUM(Monthly!CK7:CM7)</f>
        <v>2672866.6800000002</v>
      </c>
      <c r="AG7" s="17">
        <f>SUM(Monthly!CN7:CP7)</f>
        <v>2085699.3160000001</v>
      </c>
      <c r="AH7" s="17">
        <f>SUM(Monthly!CQ7:CS7)</f>
        <v>266510.60700000002</v>
      </c>
      <c r="AI7" s="17">
        <f>SUM(Monthly!CT7:CV7)</f>
        <v>0</v>
      </c>
      <c r="AJ7" s="17">
        <f>SUM(Monthly!CW7:CY7)</f>
        <v>4132989.0030000005</v>
      </c>
      <c r="AK7" s="17">
        <f>SUM(Monthly!CZ7:DB7)</f>
        <v>2280046.0809999998</v>
      </c>
      <c r="AL7" s="88">
        <f>SUM(Monthly!DC7:DE7)</f>
        <v>380400.076</v>
      </c>
      <c r="AM7" s="88">
        <f>SUM(Monthly!DF7:DH7)</f>
        <v>36805.955999999998</v>
      </c>
      <c r="AN7" s="88">
        <f>SUM(Monthly!DI7:DK7)</f>
        <v>1082274.42</v>
      </c>
      <c r="AO7" s="88">
        <f>SUM(Monthly!DL7:DN7)</f>
        <v>1557933.129</v>
      </c>
      <c r="AP7" s="88">
        <f>SUM(Monthly!DO7:DQ7)</f>
        <v>896157.28</v>
      </c>
      <c r="AQ7" s="88">
        <f>SUM(Monthly!DR7:DT7)</f>
        <v>310622.17200000002</v>
      </c>
      <c r="AR7" s="88">
        <f>SUM(Monthly!DU7:DW7)</f>
        <v>1679854.243</v>
      </c>
      <c r="AS7" s="88">
        <f>SUM(Monthly!DX7:DZ7)</f>
        <v>394879.65899999999</v>
      </c>
    </row>
    <row r="8" spans="1:45" s="86" customFormat="1" ht="17">
      <c r="A8" s="66"/>
      <c r="B8" s="58" t="s">
        <v>87</v>
      </c>
      <c r="C8" s="83">
        <f>SUM(Monthly!B8:D8)</f>
        <v>4249308.1894000005</v>
      </c>
      <c r="D8" s="83">
        <f>SUM(Monthly!E8:G8)</f>
        <v>4136415.3107000003</v>
      </c>
      <c r="E8" s="83">
        <f>SUM(Monthly!H8:J8)</f>
        <v>13659902.3377</v>
      </c>
      <c r="F8" s="83">
        <f>SUM(Monthly!K8:M8)</f>
        <v>2389953.8899700004</v>
      </c>
      <c r="G8" s="83">
        <f>SUM(Monthly!N8:P8)</f>
        <v>2046421.1788300001</v>
      </c>
      <c r="H8" s="83">
        <f>SUM(Monthly!Q8:S8)</f>
        <v>2093362.9597899998</v>
      </c>
      <c r="I8" s="83">
        <f>SUM(Monthly!T8:V8)</f>
        <v>8468131.7821699996</v>
      </c>
      <c r="J8" s="83">
        <f>SUM(Monthly!W8:Y8)</f>
        <v>5593555.57216</v>
      </c>
      <c r="K8" s="83">
        <f>SUM(Monthly!Z8:AB8)</f>
        <v>2937657.1428</v>
      </c>
      <c r="L8" s="83">
        <f>SUM(Monthly!AC8:AE8)</f>
        <v>1353379.01305</v>
      </c>
      <c r="M8" s="83">
        <f>SUM(Monthly!AF8:AH8)</f>
        <v>11523558.091729999</v>
      </c>
      <c r="N8" s="84">
        <f>SUM(Monthly!AI8:AK8)</f>
        <v>4556318.9777199998</v>
      </c>
      <c r="O8" s="84">
        <f>SUM(Monthly!AL8:AN8)</f>
        <v>3143247.82436</v>
      </c>
      <c r="P8" s="84">
        <f>SUM(Monthly!AO8:AQ8)</f>
        <v>6374438.6775499992</v>
      </c>
      <c r="Q8" s="84">
        <f>SUM(Monthly!AR8:AT8)</f>
        <v>11233707.588574</v>
      </c>
      <c r="R8" s="84">
        <f>SUM(Monthly!AU8:AW8)</f>
        <v>3202018.6257699998</v>
      </c>
      <c r="S8" s="84">
        <f>SUM(Monthly!AX8:AZ8)</f>
        <v>4269054.6548500005</v>
      </c>
      <c r="T8" s="84">
        <f>SUM(Monthly!BA8:BC8)</f>
        <v>2719951.08243</v>
      </c>
      <c r="U8" s="84">
        <f>SUM(Monthly!BD8:BF8)</f>
        <v>1898753.5619699997</v>
      </c>
      <c r="V8" s="84">
        <f>SUM(Monthly!BG8:BI8)</f>
        <v>4073591.3635799997</v>
      </c>
      <c r="W8" s="84">
        <f>SUM(Monthly!BJ8:BL8)</f>
        <v>4618855.19606</v>
      </c>
      <c r="X8" s="84">
        <f>SUM(Monthly!BM8:BO8)</f>
        <v>2186476.33831</v>
      </c>
      <c r="Y8" s="84">
        <f>SUM(Monthly!BP8:BR8)</f>
        <v>1558804.7840200001</v>
      </c>
      <c r="Z8" s="84">
        <f>SUM(Monthly!BS8:BU8)</f>
        <v>2987370.6330799996</v>
      </c>
      <c r="AA8" s="84">
        <f>SUM(Monthly!BV8:BX8)</f>
        <v>3705689.8144099996</v>
      </c>
      <c r="AB8" s="84">
        <f>SUM(Monthly!BY8:CA8)</f>
        <v>2249926.3686699998</v>
      </c>
      <c r="AC8" s="84">
        <f>SUM(Monthly!CB8:CD8)</f>
        <v>2520709.60843</v>
      </c>
      <c r="AD8" s="84">
        <f>SUM(Monthly!CE8:CG8)</f>
        <v>3022103.7758800001</v>
      </c>
      <c r="AE8" s="84">
        <f>SUM(Monthly!CH8:CJ8)</f>
        <v>4339268.1088699996</v>
      </c>
      <c r="AF8" s="84">
        <f>SUM(Monthly!CK8:CM8)</f>
        <v>2775679.0681099999</v>
      </c>
      <c r="AG8" s="84">
        <f>SUM(Monthly!CN8:CP8)</f>
        <v>2177244.1112500001</v>
      </c>
      <c r="AH8" s="84">
        <f>SUM(Monthly!CQ8:CS8)</f>
        <v>1480439.40282</v>
      </c>
      <c r="AI8" s="84">
        <f>SUM(Monthly!CT8:CV8)</f>
        <v>1586265.4465500002</v>
      </c>
      <c r="AJ8" s="84">
        <f>SUM(Monthly!CW8:CY8)</f>
        <v>4376135.4428300001</v>
      </c>
      <c r="AK8" s="84">
        <f>SUM(Monthly!CZ8:DB8)</f>
        <v>2447033.2419600002</v>
      </c>
      <c r="AL8" s="85">
        <f>SUM(Monthly!DC8:DE8)</f>
        <v>2275007.96777</v>
      </c>
      <c r="AM8" s="85">
        <f>SUM(Monthly!DF8:DH8)</f>
        <v>4452746.9702099999</v>
      </c>
      <c r="AN8" s="85">
        <f>SUM(Monthly!DI8:DK8)</f>
        <v>2116986.3316299999</v>
      </c>
      <c r="AO8" s="85">
        <f>SUM(Monthly!DL8:DN8)</f>
        <v>3166656.8421799997</v>
      </c>
      <c r="AP8" s="85">
        <f>SUM(Monthly!DO8:DQ8)</f>
        <v>2312066.5983599997</v>
      </c>
      <c r="AQ8" s="43">
        <f>SUM(Monthly!DR8:DT8)</f>
        <v>5292665.7209200002</v>
      </c>
      <c r="AR8" s="43">
        <f>SUM(Monthly!DU8:DW8)</f>
        <v>3177124.4516500002</v>
      </c>
      <c r="AS8" s="43">
        <f>SUM(Monthly!DX8:DZ8)</f>
        <v>1417896.8540000001</v>
      </c>
    </row>
    <row r="9" spans="1:45" ht="17">
      <c r="A9" s="68"/>
      <c r="B9" s="28" t="s">
        <v>21</v>
      </c>
      <c r="C9" s="87">
        <f>SUM(Monthly!B9:D9)</f>
        <v>2320036.9060400003</v>
      </c>
      <c r="D9" s="87">
        <f>SUM(Monthly!E9:G9)</f>
        <v>854325.61886000005</v>
      </c>
      <c r="E9" s="87">
        <f>SUM(Monthly!H9:J9)</f>
        <v>570225.01747999992</v>
      </c>
      <c r="F9" s="87">
        <f>SUM(Monthly!K9:M9)</f>
        <v>1752111.0677499999</v>
      </c>
      <c r="G9" s="87">
        <f>SUM(Monthly!N9:P9)</f>
        <v>2036808.2372400002</v>
      </c>
      <c r="H9" s="87">
        <f>SUM(Monthly!Q9:S9)</f>
        <v>942913.92136999988</v>
      </c>
      <c r="I9" s="87">
        <f>SUM(Monthly!T9:V9)</f>
        <v>649590.74393</v>
      </c>
      <c r="J9" s="87">
        <f>SUM(Monthly!W9:Y9)</f>
        <v>1589657.6984000001</v>
      </c>
      <c r="K9" s="87">
        <f>SUM(Monthly!Z9:AB9)</f>
        <v>2256541.3086900003</v>
      </c>
      <c r="L9" s="87">
        <f>SUM(Monthly!AC9:AE9)</f>
        <v>803813.38337999978</v>
      </c>
      <c r="M9" s="87">
        <f>SUM(Monthly!AF9:AH9)</f>
        <v>588875.89486999996</v>
      </c>
      <c r="N9" s="17">
        <f>SUM(Monthly!AI9:AK9)</f>
        <v>1567172.5898699998</v>
      </c>
      <c r="O9" s="17">
        <f>SUM(Monthly!AL9:AN9)</f>
        <v>1917042.7255999998</v>
      </c>
      <c r="P9" s="17">
        <f>SUM(Monthly!AO9:AQ9)</f>
        <v>802569.54330999998</v>
      </c>
      <c r="Q9" s="17">
        <f>SUM(Monthly!AR9:AT9)</f>
        <v>637894.98239400005</v>
      </c>
      <c r="R9" s="17">
        <f>SUM(Monthly!AU9:AW9)</f>
        <v>1415714.8546000002</v>
      </c>
      <c r="S9" s="17">
        <f>SUM(Monthly!AX9:AZ9)</f>
        <v>1630719.9088500002</v>
      </c>
      <c r="T9" s="17">
        <f>SUM(Monthly!BA9:BC9)</f>
        <v>865880.28043000016</v>
      </c>
      <c r="U9" s="17">
        <f>SUM(Monthly!BD9:BF9)</f>
        <v>617293.85896999994</v>
      </c>
      <c r="V9" s="17">
        <f>SUM(Monthly!BG9:BI9)</f>
        <v>1366236.80158</v>
      </c>
      <c r="W9" s="17">
        <f>SUM(Monthly!BJ9:BL9)</f>
        <v>2032921.6860600002</v>
      </c>
      <c r="X9" s="17">
        <f>SUM(Monthly!BM9:BO9)</f>
        <v>845891.51431</v>
      </c>
      <c r="Y9" s="17">
        <f>SUM(Monthly!BP9:BR9)</f>
        <v>650373.98802000005</v>
      </c>
      <c r="Z9" s="17">
        <f>SUM(Monthly!BS9:BU9)</f>
        <v>1545375.9570799998</v>
      </c>
      <c r="AA9" s="17">
        <f>SUM(Monthly!BV9:BX9)</f>
        <v>1663490.7114099998</v>
      </c>
      <c r="AB9" s="17">
        <f>SUM(Monthly!BY9:CA9)</f>
        <v>703741.01466999995</v>
      </c>
      <c r="AC9" s="17">
        <f>SUM(Monthly!CB9:CD9)</f>
        <v>432829.07442999998</v>
      </c>
      <c r="AD9" s="17">
        <f>SUM(Monthly!CE9:CG9)</f>
        <v>976708.53187999991</v>
      </c>
      <c r="AE9" s="17">
        <f>SUM(Monthly!CH9:CJ9)</f>
        <v>1202606.46187</v>
      </c>
      <c r="AF9" s="17">
        <f>SUM(Monthly!CK9:CM9)</f>
        <v>570129.36511000001</v>
      </c>
      <c r="AG9" s="17">
        <f>SUM(Monthly!CN9:CP9)</f>
        <v>398210.90125</v>
      </c>
      <c r="AH9" s="17">
        <f>SUM(Monthly!CQ9:CS9)</f>
        <v>1264339.72982</v>
      </c>
      <c r="AI9" s="17">
        <f>SUM(Monthly!CT9:CV9)</f>
        <v>1586265.4465500002</v>
      </c>
      <c r="AJ9" s="17">
        <f>SUM(Monthly!CW9:CY9)</f>
        <v>642819.68983000005</v>
      </c>
      <c r="AK9" s="17">
        <f>SUM(Monthly!CZ9:DB9)</f>
        <v>383380.52896000003</v>
      </c>
      <c r="AL9" s="88">
        <f>SUM(Monthly!DC9:DE9)</f>
        <v>1108263.4427700001</v>
      </c>
      <c r="AM9" s="88">
        <f>SUM(Monthly!DF9:DH9)</f>
        <v>1270549.32021</v>
      </c>
      <c r="AN9" s="88">
        <f>SUM(Monthly!DI9:DK9)</f>
        <v>591260.15262999991</v>
      </c>
      <c r="AO9" s="88">
        <f>SUM(Monthly!DL9:DN9)</f>
        <v>423905.56518000003</v>
      </c>
      <c r="AP9" s="88">
        <f>SUM(Monthly!DO9:DQ9)</f>
        <v>1064420.67136</v>
      </c>
      <c r="AQ9" s="88">
        <f>SUM(Monthly!DR9:DT9)</f>
        <v>1762014.9849199997</v>
      </c>
      <c r="AR9" s="88">
        <f>SUM(Monthly!DU9:DW9)</f>
        <v>541418.04464999994</v>
      </c>
      <c r="AS9" s="88">
        <f>SUM(Monthly!DX9:DZ9)</f>
        <v>367825.38</v>
      </c>
    </row>
    <row r="10" spans="1:45" ht="17">
      <c r="A10" s="68"/>
      <c r="B10" s="28" t="s">
        <v>84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17">
        <f>SUM(Monthly!AX10:AZ10)</f>
        <v>2638334.7460000003</v>
      </c>
      <c r="T10" s="17">
        <f>SUM(Monthly!BA10:BC10)</f>
        <v>1854070.8019999999</v>
      </c>
      <c r="U10" s="17">
        <f>SUM(Monthly!BD10:BF10)</f>
        <v>1281459.703</v>
      </c>
      <c r="V10" s="17">
        <f>SUM(Monthly!BG10:BI10)</f>
        <v>2707354.5619999999</v>
      </c>
      <c r="W10" s="17">
        <f>SUM(Monthly!BJ10:BL10)</f>
        <v>2585933.5099999998</v>
      </c>
      <c r="X10" s="17">
        <f>SUM(Monthly!BM10:BO10)</f>
        <v>1340584.824</v>
      </c>
      <c r="Y10" s="17">
        <f>SUM(Monthly!BP10:BR10)</f>
        <v>908430.79600000009</v>
      </c>
      <c r="Z10" s="17">
        <f>SUM(Monthly!BS10:BU10)</f>
        <v>1441994.676</v>
      </c>
      <c r="AA10" s="17">
        <f>SUM(Monthly!BV10:BX10)</f>
        <v>2042199.1029999999</v>
      </c>
      <c r="AB10" s="17">
        <f>SUM(Monthly!BY10:CA10)</f>
        <v>1546185.3540000001</v>
      </c>
      <c r="AC10" s="17">
        <f>SUM(Monthly!CB10:CD10)</f>
        <v>2087880.534</v>
      </c>
      <c r="AD10" s="17">
        <f>SUM(Monthly!CE10:CG10)</f>
        <v>2045395.2439999999</v>
      </c>
      <c r="AE10" s="17">
        <f>SUM(Monthly!CH10:CJ10)</f>
        <v>3136661.6469999999</v>
      </c>
      <c r="AF10" s="17">
        <f>SUM(Monthly!CK10:CM10)</f>
        <v>2205549.7029999997</v>
      </c>
      <c r="AG10" s="17">
        <f>SUM(Monthly!CN10:CP10)</f>
        <v>1779033.21</v>
      </c>
      <c r="AH10" s="17">
        <f>SUM(Monthly!CQ10:CS10)</f>
        <v>216099.67300000001</v>
      </c>
      <c r="AI10" s="17">
        <f>SUM(Monthly!CT10:CV10)</f>
        <v>0</v>
      </c>
      <c r="AJ10" s="17">
        <f>SUM(Monthly!CW10:CY10)</f>
        <v>3733315.7529999996</v>
      </c>
      <c r="AK10" s="17">
        <f>SUM(Monthly!CZ10:DB10)</f>
        <v>2063652.713</v>
      </c>
      <c r="AL10" s="88">
        <f>SUM(Monthly!DC10:DE10)</f>
        <v>1166744.5249999999</v>
      </c>
      <c r="AM10" s="88">
        <f>SUM(Monthly!DF10:DH10)</f>
        <v>3182197.65</v>
      </c>
      <c r="AN10" s="88">
        <f>SUM(Monthly!DI10:DK10)</f>
        <v>1525726.179</v>
      </c>
      <c r="AO10" s="88">
        <f>SUM(Monthly!DL10:DN10)</f>
        <v>2742751.2769999998</v>
      </c>
      <c r="AP10" s="88">
        <f>SUM(Monthly!DO10:DQ10)</f>
        <v>1247645.9270000001</v>
      </c>
      <c r="AQ10" s="88">
        <f>SUM(Monthly!DR10:DT10)</f>
        <v>3530650.736</v>
      </c>
      <c r="AR10" s="88">
        <f>SUM(Monthly!DU10:DW10)</f>
        <v>2635706.4070000001</v>
      </c>
      <c r="AS10" s="88">
        <f>SUM(Monthly!DX10:DZ10)</f>
        <v>1050071.4739999999</v>
      </c>
    </row>
    <row r="11" spans="1:45" ht="17">
      <c r="A11" s="68"/>
      <c r="B11" s="28" t="s">
        <v>16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17">
        <f>SUM(Monthly!AX11:AZ11)</f>
        <v>0</v>
      </c>
      <c r="T11" s="17">
        <f>SUM(Monthly!BA11:BC11)</f>
        <v>10459.388000000001</v>
      </c>
      <c r="U11" s="17">
        <f>SUM(Monthly!BD11:BF11)</f>
        <v>0</v>
      </c>
      <c r="V11" s="17">
        <f>SUM(Monthly!BG11:BI11)</f>
        <v>0</v>
      </c>
      <c r="W11" s="17">
        <f>SUM(Monthly!BJ11:BL11)</f>
        <v>3110.2919999999999</v>
      </c>
      <c r="X11" s="17">
        <f>SUM(Monthly!BM11:BO11)</f>
        <v>0</v>
      </c>
      <c r="Y11" s="17">
        <f>SUM(Monthly!BP11:BR11)</f>
        <v>0</v>
      </c>
      <c r="Z11" s="17">
        <f>SUM(Monthly!BS11:BU11)</f>
        <v>0</v>
      </c>
      <c r="AA11" s="17">
        <f>SUM(Monthly!BV11:BX11)</f>
        <v>262401.27500000002</v>
      </c>
      <c r="AB11" s="17">
        <f>SUM(Monthly!BY11:CA11)</f>
        <v>62498.686000000002</v>
      </c>
      <c r="AC11" s="17">
        <f>SUM(Monthly!CB11:CD11)</f>
        <v>0</v>
      </c>
      <c r="AD11" s="17">
        <f>SUM(Monthly!CE11:CG11)</f>
        <v>0</v>
      </c>
      <c r="AE11" s="17">
        <f>SUM(Monthly!CH11:CJ11)</f>
        <v>36705.267999999996</v>
      </c>
      <c r="AF11" s="17">
        <f>SUM(Monthly!CK11:CM11)</f>
        <v>2120727.2659999998</v>
      </c>
      <c r="AG11" s="17">
        <f>SUM(Monthly!CN11:CP11)</f>
        <v>1701586.3199999998</v>
      </c>
      <c r="AH11" s="17">
        <f>SUM(Monthly!CQ11:CS11)</f>
        <v>216099.67300000001</v>
      </c>
      <c r="AI11" s="17">
        <f>SUM(Monthly!CT11:CV11)</f>
        <v>0</v>
      </c>
      <c r="AJ11" s="17">
        <f>SUM(Monthly!CW11:CY11)</f>
        <v>3703007.8279999997</v>
      </c>
      <c r="AK11" s="17">
        <f>SUM(Monthly!CZ11:DB11)</f>
        <v>1881263.1710000001</v>
      </c>
      <c r="AL11" s="88">
        <f>SUM(Monthly!DC11:DE11)</f>
        <v>139014.212</v>
      </c>
      <c r="AM11" s="88">
        <f>SUM(Monthly!DF11:DH11)</f>
        <v>0</v>
      </c>
      <c r="AN11" s="88">
        <f>SUM(Monthly!DI11:DK11)</f>
        <v>759527.8189999999</v>
      </c>
      <c r="AO11" s="88">
        <f>SUM(Monthly!DL11:DN11)</f>
        <v>1426439.1740000001</v>
      </c>
      <c r="AP11" s="88">
        <f>SUM(Monthly!DO11:DQ11)</f>
        <v>490335.03</v>
      </c>
      <c r="AQ11" s="88">
        <f>SUM(Monthly!DR11:DT11)</f>
        <v>100008.12699999999</v>
      </c>
      <c r="AR11" s="88">
        <f>SUM(Monthly!DU11:DW11)</f>
        <v>1438771.523</v>
      </c>
      <c r="AS11" s="88">
        <f>SUM(Monthly!DX11:DZ11)</f>
        <v>217041.391</v>
      </c>
    </row>
    <row r="12" spans="1:45" ht="17">
      <c r="A12" s="68"/>
      <c r="B12" s="28" t="s">
        <v>31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17">
        <f>SUM(Monthly!AX12:AZ12)</f>
        <v>2638334.7460000003</v>
      </c>
      <c r="T12" s="17">
        <f>SUM(Monthly!BA12:BC12)</f>
        <v>1843611.4140000001</v>
      </c>
      <c r="U12" s="17">
        <f>SUM(Monthly!BD12:BF12)</f>
        <v>1281459.703</v>
      </c>
      <c r="V12" s="17">
        <f>SUM(Monthly!BG12:BI12)</f>
        <v>2707354.5619999999</v>
      </c>
      <c r="W12" s="17">
        <f>SUM(Monthly!BJ12:BL12)</f>
        <v>2582823.2179999999</v>
      </c>
      <c r="X12" s="17">
        <f>SUM(Monthly!BM12:BO12)</f>
        <v>1340584.824</v>
      </c>
      <c r="Y12" s="17">
        <f>SUM(Monthly!BP12:BR12)</f>
        <v>908430.79600000009</v>
      </c>
      <c r="Z12" s="17">
        <f>SUM(Monthly!BS12:BU12)</f>
        <v>1441994.676</v>
      </c>
      <c r="AA12" s="17">
        <f>SUM(Monthly!BV12:BX12)</f>
        <v>1779797.828</v>
      </c>
      <c r="AB12" s="17">
        <f>SUM(Monthly!BY12:CA12)</f>
        <v>1483686.6680000001</v>
      </c>
      <c r="AC12" s="17">
        <f>SUM(Monthly!CB12:CD12)</f>
        <v>2087880.534</v>
      </c>
      <c r="AD12" s="17">
        <f>SUM(Monthly!CE12:CG12)</f>
        <v>2045395.2439999999</v>
      </c>
      <c r="AE12" s="17">
        <f>SUM(Monthly!CH12:CJ12)</f>
        <v>3099956.3789999997</v>
      </c>
      <c r="AF12" s="17">
        <f>SUM(Monthly!CK12:CM12)</f>
        <v>84822.437000000005</v>
      </c>
      <c r="AG12" s="17">
        <f>SUM(Monthly!CN12:CP12)</f>
        <v>77446.89</v>
      </c>
      <c r="AH12" s="17">
        <f>SUM(Monthly!CQ12:CS12)</f>
        <v>0</v>
      </c>
      <c r="AI12" s="17">
        <f>SUM(Monthly!CT12:CV12)</f>
        <v>0</v>
      </c>
      <c r="AJ12" s="17">
        <f>SUM(Monthly!CW12:CY12)</f>
        <v>30307.924999999999</v>
      </c>
      <c r="AK12" s="17">
        <f>SUM(Monthly!CZ12:DB12)</f>
        <v>182389.54200000002</v>
      </c>
      <c r="AL12" s="88">
        <f>SUM(Monthly!DC12:DE12)</f>
        <v>1027730.3130000001</v>
      </c>
      <c r="AM12" s="88">
        <f>SUM(Monthly!DF12:DH12)</f>
        <v>3182197.65</v>
      </c>
      <c r="AN12" s="88">
        <f>SUM(Monthly!DI12:DK12)</f>
        <v>766198.36</v>
      </c>
      <c r="AO12" s="88">
        <f>SUM(Monthly!DL12:DN12)</f>
        <v>1316312.1030000001</v>
      </c>
      <c r="AP12" s="88">
        <f>SUM(Monthly!DO12:DQ12)</f>
        <v>757310.897</v>
      </c>
      <c r="AQ12" s="88">
        <f>SUM(Monthly!DR12:DT12)</f>
        <v>3430642.6090000002</v>
      </c>
      <c r="AR12" s="88">
        <f>SUM(Monthly!DU12:DW12)</f>
        <v>1196934.8840000001</v>
      </c>
      <c r="AS12" s="88">
        <f>SUM(Monthly!DX12:DZ12)</f>
        <v>833030.08299999987</v>
      </c>
    </row>
    <row r="13" spans="1:45" s="86" customFormat="1" ht="17">
      <c r="A13" s="66"/>
      <c r="B13" s="58" t="s">
        <v>86</v>
      </c>
      <c r="C13" s="83">
        <f>SUM(Monthly!B13:D13)</f>
        <v>5953.3586800000003</v>
      </c>
      <c r="D13" s="83">
        <f>SUM(Monthly!E13:G13)</f>
        <v>3023.2546700000003</v>
      </c>
      <c r="E13" s="83">
        <f>SUM(Monthly!H13:J13)</f>
        <v>3252.5722800000003</v>
      </c>
      <c r="F13" s="83">
        <f>SUM(Monthly!K13:M13)</f>
        <v>4634.5782800000006</v>
      </c>
      <c r="G13" s="83">
        <f>SUM(Monthly!N13:P13)</f>
        <v>3922.4343499999995</v>
      </c>
      <c r="H13" s="83">
        <f>SUM(Monthly!Q13:S13)</f>
        <v>3458.8621300000004</v>
      </c>
      <c r="I13" s="83">
        <f>SUM(Monthly!T13:V13)</f>
        <v>4662.2875999999997</v>
      </c>
      <c r="J13" s="83">
        <f>SUM(Monthly!W13:Y13)</f>
        <v>6458.3894600000003</v>
      </c>
      <c r="K13" s="83">
        <f>SUM(Monthly!Z13:AB13)</f>
        <v>5995.1627399999998</v>
      </c>
      <c r="L13" s="83">
        <f>SUM(Monthly!AC13:AE13)</f>
        <v>7294.1553599999988</v>
      </c>
      <c r="M13" s="83">
        <f>SUM(Monthly!AF13:AH13)</f>
        <v>3217.8842999999997</v>
      </c>
      <c r="N13" s="84">
        <f>SUM(Monthly!AI13:AK13)</f>
        <v>4717.4883599999994</v>
      </c>
      <c r="O13" s="84">
        <f>SUM(Monthly!AL13:AN13)</f>
        <v>8035.0262999999995</v>
      </c>
      <c r="P13" s="84">
        <f>SUM(Monthly!AO13:AQ13)</f>
        <v>8135.2923299999993</v>
      </c>
      <c r="Q13" s="84">
        <f>SUM(Monthly!AR13:AT13)</f>
        <v>5062.7559899999997</v>
      </c>
      <c r="R13" s="84">
        <f>SUM(Monthly!AU13:AW13)</f>
        <v>5679.6293699999997</v>
      </c>
      <c r="S13" s="84">
        <f>SUM(Monthly!AX13:AZ13)</f>
        <v>-982.09258</v>
      </c>
      <c r="T13" s="84">
        <f>SUM(Monthly!BA13:BC13)</f>
        <v>1960.8055200000001</v>
      </c>
      <c r="U13" s="84">
        <f>SUM(Monthly!BD13:BF13)</f>
        <v>4796.7774199999994</v>
      </c>
      <c r="V13" s="84">
        <f>SUM(Monthly!BG13:BI13)</f>
        <v>1009.670260000038</v>
      </c>
      <c r="W13" s="84">
        <f>SUM(Monthly!BJ13:BL13)</f>
        <v>5848.0639799999999</v>
      </c>
      <c r="X13" s="84">
        <f>SUM(Monthly!BM13:BO13)</f>
        <v>5245.0789700000005</v>
      </c>
      <c r="Y13" s="84">
        <f>SUM(Monthly!BP13:BR13)</f>
        <v>7931.7713899999999</v>
      </c>
      <c r="Z13" s="84">
        <f>SUM(Monthly!BS13:BU13)</f>
        <v>3257.7905500000002</v>
      </c>
      <c r="AA13" s="84">
        <f>SUM(Monthly!BV13:BX13)</f>
        <v>5117.8358800000005</v>
      </c>
      <c r="AB13" s="84">
        <f>SUM(Monthly!BY13:CA13)</f>
        <v>5049.7526099999995</v>
      </c>
      <c r="AC13" s="84">
        <f>SUM(Monthly!CB13:CD13)</f>
        <v>4383.5900039999997</v>
      </c>
      <c r="AD13" s="84">
        <f>SUM(Monthly!CE13:CG13)</f>
        <v>8341.4422099999701</v>
      </c>
      <c r="AE13" s="84">
        <f>SUM(Monthly!CH13:CJ13)</f>
        <v>6636.1070299999992</v>
      </c>
      <c r="AF13" s="84">
        <f>SUM(Monthly!CK13:CM13)</f>
        <v>7957.5642400000006</v>
      </c>
      <c r="AG13" s="84">
        <f>SUM(Monthly!CN13:CP13)</f>
        <v>7708.3771729999798</v>
      </c>
      <c r="AH13" s="84">
        <f>SUM(Monthly!CQ13:CS13)</f>
        <v>9950.2087300000003</v>
      </c>
      <c r="AI13" s="84">
        <f>SUM(Monthly!CT13:CV13)</f>
        <v>6212.6482744389996</v>
      </c>
      <c r="AJ13" s="84">
        <f>SUM(Monthly!CW13:CY13)</f>
        <v>9212.8074500000002</v>
      </c>
      <c r="AK13" s="84">
        <f>SUM(Monthly!CZ13:DB13)</f>
        <v>30435.696919999998</v>
      </c>
      <c r="AL13" s="85">
        <f>SUM(Monthly!DC13:DE13)</f>
        <v>2565.4191099999998</v>
      </c>
      <c r="AM13" s="85">
        <f>SUM(Monthly!DF13:DH13)</f>
        <v>13872.61858</v>
      </c>
      <c r="AN13" s="85">
        <f>SUM(Monthly!DI13:DK13)</f>
        <v>10245.254370000001</v>
      </c>
      <c r="AO13" s="85">
        <f>SUM(Monthly!DL13:DN13)</f>
        <v>4595.96029</v>
      </c>
      <c r="AP13" s="85">
        <f>SUM(Monthly!DO13:DQ13)</f>
        <v>3779.98065</v>
      </c>
      <c r="AQ13" s="43">
        <f>SUM(Monthly!DR13:DT13)</f>
        <v>15279.709269999999</v>
      </c>
      <c r="AR13" s="43">
        <f>SUM(Monthly!DU13:DW13)</f>
        <v>3151.6431600000001</v>
      </c>
      <c r="AS13" s="43">
        <f>SUM(Monthly!DX13:DZ13)</f>
        <v>9661.07</v>
      </c>
    </row>
    <row r="14" spans="1:45" ht="17">
      <c r="A14" s="68"/>
      <c r="B14" s="28" t="s">
        <v>23</v>
      </c>
      <c r="C14" s="87">
        <f>SUM(Monthly!B14:D14)</f>
        <v>0</v>
      </c>
      <c r="D14" s="87">
        <f>SUM(Monthly!E14:G14)</f>
        <v>202.43844000000001</v>
      </c>
      <c r="E14" s="87">
        <f>SUM(Monthly!H14:J14)</f>
        <v>429.37479999999999</v>
      </c>
      <c r="F14" s="87">
        <f>SUM(Monthly!K14:M14)</f>
        <v>1347.4781200000002</v>
      </c>
      <c r="G14" s="87">
        <f>SUM(Monthly!N14:P14)</f>
        <v>0</v>
      </c>
      <c r="H14" s="87">
        <f>SUM(Monthly!Q14:S14)</f>
        <v>978.17927000000009</v>
      </c>
      <c r="I14" s="87">
        <f>SUM(Monthly!T14:V14)</f>
        <v>739.99346000000003</v>
      </c>
      <c r="J14" s="87">
        <f>SUM(Monthly!W14:Y14)</f>
        <v>945.85980000000006</v>
      </c>
      <c r="K14" s="87">
        <f>SUM(Monthly!Z14:AB14)</f>
        <v>0</v>
      </c>
      <c r="L14" s="87">
        <f>SUM(Monthly!AC14:AE14)</f>
        <v>3238.2799999999997</v>
      </c>
      <c r="M14" s="87">
        <f>SUM(Monthly!AF14:AH14)</f>
        <v>5605.1968399999996</v>
      </c>
      <c r="N14" s="17">
        <f>SUM(Monthly!AI14:AK14)</f>
        <v>0</v>
      </c>
      <c r="O14" s="17">
        <f>SUM(Monthly!AL14:AN14)</f>
        <v>0</v>
      </c>
      <c r="P14" s="17">
        <f>SUM(Monthly!AO14:AQ14)</f>
        <v>6743.6698399999996</v>
      </c>
      <c r="Q14" s="17">
        <f>SUM(Monthly!AR14:AT14)</f>
        <v>4752.9168599999994</v>
      </c>
      <c r="R14" s="17">
        <f>SUM(Monthly!AU14:AW14)</f>
        <v>2797.4318499999999</v>
      </c>
      <c r="S14" s="17">
        <f>SUM(Monthly!AX14:AZ14)</f>
        <v>0</v>
      </c>
      <c r="T14" s="17">
        <f>SUM(Monthly!BA14:BC14)</f>
        <v>0</v>
      </c>
      <c r="U14" s="17">
        <f>SUM(Monthly!BD14:BF14)</f>
        <v>545.90395000000001</v>
      </c>
      <c r="V14" s="17">
        <f>SUM(Monthly!BG14:BI14)</f>
        <v>98.782960000000003</v>
      </c>
      <c r="W14" s="17">
        <f>SUM(Monthly!BJ14:BL14)</f>
        <v>213.05588</v>
      </c>
      <c r="X14" s="17">
        <f>SUM(Monthly!BM14:BO14)</f>
        <v>2135.2444300000002</v>
      </c>
      <c r="Y14" s="17">
        <f>SUM(Monthly!BP14:BR14)</f>
        <v>5794.8342300000004</v>
      </c>
      <c r="Z14" s="17">
        <f>SUM(Monthly!BS14:BU14)</f>
        <v>333.27614999999997</v>
      </c>
      <c r="AA14" s="17">
        <f>SUM(Monthly!BV14:BX14)</f>
        <v>263.92455999999999</v>
      </c>
      <c r="AB14" s="17">
        <f>SUM(Monthly!BY14:CA14)</f>
        <v>1672.1958</v>
      </c>
      <c r="AC14" s="17">
        <f>SUM(Monthly!CB14:CD14)</f>
        <v>1096.31466</v>
      </c>
      <c r="AD14" s="17">
        <f>SUM(Monthly!CE14:CG14)</f>
        <v>0</v>
      </c>
      <c r="AE14" s="17">
        <f>SUM(Monthly!CH14:CJ14)</f>
        <v>53.200400000000002</v>
      </c>
      <c r="AF14" s="17">
        <f>SUM(Monthly!CK14:CM14)</f>
        <v>770.78116999999997</v>
      </c>
      <c r="AG14" s="17">
        <f>SUM(Monthly!CN14:CP14)</f>
        <v>5936.4675330000009</v>
      </c>
      <c r="AH14" s="17">
        <f>SUM(Monthly!CQ14:CS14)</f>
        <v>135.32499999999999</v>
      </c>
      <c r="AI14" s="17">
        <f>SUM(Monthly!CT14:CV14)</f>
        <v>73.043000000000006</v>
      </c>
      <c r="AJ14" s="17">
        <f>SUM(Monthly!CW14:CY14)</f>
        <v>1725.8652</v>
      </c>
      <c r="AK14" s="17">
        <f>SUM(Monthly!CZ14:DB14)</f>
        <v>3522.8993</v>
      </c>
      <c r="AL14" s="88">
        <f>SUM(Monthly!DC14:DE14)</f>
        <v>108.315</v>
      </c>
      <c r="AM14" s="88">
        <f>SUM(Monthly!DF14:DH14)</f>
        <v>0</v>
      </c>
      <c r="AN14" s="88">
        <f>SUM(Monthly!DI14:DK14)</f>
        <v>5753.335</v>
      </c>
      <c r="AO14" s="88">
        <f>SUM(Monthly!DL14:DN14)</f>
        <v>1092.9290000000001</v>
      </c>
      <c r="AP14" s="88">
        <f>SUM(Monthly!DO14:DQ14)</f>
        <v>94.932999999999993</v>
      </c>
      <c r="AQ14" s="88">
        <f>SUM(Monthly!DR14:DT14)</f>
        <v>0</v>
      </c>
      <c r="AR14" s="88">
        <f>SUM(Monthly!DU14:DW14)</f>
        <v>669.07999999999993</v>
      </c>
      <c r="AS14" s="88">
        <f>SUM(Monthly!DX14:DZ14)</f>
        <v>4321.8389999999999</v>
      </c>
    </row>
    <row r="15" spans="1:45" s="13" customFormat="1" hidden="1">
      <c r="A15" s="11"/>
      <c r="B15" s="31" t="s">
        <v>20</v>
      </c>
      <c r="C15" s="12">
        <f>SUM(Monthly!B23:D23)</f>
        <v>1929271.2833600002</v>
      </c>
      <c r="D15" s="12">
        <f>SUM(Monthly!E23:G23)</f>
        <v>3282089.6918400005</v>
      </c>
      <c r="E15" s="12">
        <f>SUM(Monthly!H23:J23)</f>
        <v>13089677.320219999</v>
      </c>
      <c r="F15" s="12">
        <f>SUM(Monthly!K23:M23)</f>
        <v>637842.82221999997</v>
      </c>
      <c r="G15" s="12">
        <f>SUM(Monthly!N23:P23)</f>
        <v>9612.9415900000004</v>
      </c>
      <c r="H15" s="12">
        <f>SUM(Monthly!Q23:S23)</f>
        <v>1150449.0384200001</v>
      </c>
      <c r="I15" s="12">
        <f>SUM(Monthly!T23:V23)</f>
        <v>7818541.0382400006</v>
      </c>
      <c r="J15" s="12">
        <f>SUM(Monthly!W23:Y23)</f>
        <v>4003897.8737599999</v>
      </c>
      <c r="K15" s="12">
        <f>SUM(Monthly!Z23:AB23)</f>
        <v>681115.83411000005</v>
      </c>
      <c r="L15" s="12">
        <f>SUM(Monthly!AC23:AE23)</f>
        <v>549565.62967000005</v>
      </c>
      <c r="M15" s="12">
        <f>SUM(Monthly!AF23:AH23)</f>
        <v>10934682.19686</v>
      </c>
      <c r="N15" s="18">
        <f>SUM(Monthly!AI23:AK23)</f>
        <v>2989146.3878500001</v>
      </c>
      <c r="O15" s="18">
        <f>SUM(Monthly!AL23:AN23)</f>
        <v>1226205.09876</v>
      </c>
      <c r="P15" s="18">
        <f>SUM(Monthly!AO23:AQ23)</f>
        <v>5571869.1342399996</v>
      </c>
      <c r="Q15" s="18">
        <f>SUM(Monthly!AR23:AT23)</f>
        <v>10595812.606180001</v>
      </c>
      <c r="R15" s="18">
        <f>SUM(Monthly!AU23:AW23)</f>
        <v>1786303.7711699998</v>
      </c>
      <c r="S15" s="18">
        <f>SUM(Monthly!AX23:AZ23)</f>
        <v>0</v>
      </c>
      <c r="T15" s="18">
        <f>SUM(Monthly!BA23:BC23)</f>
        <v>0</v>
      </c>
      <c r="U15" s="18">
        <f>SUM(Monthly!BD23:BF23)</f>
        <v>0</v>
      </c>
      <c r="V15" s="18">
        <f>SUM(Monthly!BG23:BI23)</f>
        <v>0</v>
      </c>
      <c r="W15" s="18">
        <f>SUM(Monthly!BJ23:BL23)</f>
        <v>0</v>
      </c>
      <c r="X15" s="18">
        <f>SUM(Monthly!BM23:BO23)</f>
        <v>0</v>
      </c>
      <c r="Y15" s="18">
        <f>SUM(Monthly!BP23:BR23)</f>
        <v>0</v>
      </c>
      <c r="Z15" s="18">
        <f>SUM(Monthly!BS23:BU23)</f>
        <v>0</v>
      </c>
      <c r="AA15" s="18">
        <f>SUM(Monthly!BV23:BX23)</f>
        <v>0</v>
      </c>
      <c r="AB15" s="18">
        <f>SUM(Monthly!BY23:CA23)</f>
        <v>0</v>
      </c>
      <c r="AC15" s="18">
        <f>SUM(Monthly!CB23:CD23)</f>
        <v>0</v>
      </c>
      <c r="AD15" s="18">
        <f>SUM(Monthly!CE23:CG23)</f>
        <v>0</v>
      </c>
      <c r="AE15" s="18">
        <f>SUM(Monthly!CH23:CJ23)</f>
        <v>0</v>
      </c>
      <c r="AF15" s="18">
        <f>SUM(Monthly!CK23:CM23)</f>
        <v>0</v>
      </c>
      <c r="AG15" s="18">
        <f>SUM(Monthly!CN23:CP23)</f>
        <v>0</v>
      </c>
      <c r="AH15" s="18">
        <f>SUM(Monthly!CQ23:CS23)</f>
        <v>0</v>
      </c>
      <c r="AI15" s="18">
        <f>SUM(Monthly!CT23:CV23)</f>
        <v>0</v>
      </c>
      <c r="AJ15" s="18">
        <f>SUM(Monthly!CW23:CY23)</f>
        <v>0</v>
      </c>
      <c r="AK15" s="18">
        <f>SUM(Monthly!CZ23:DB23)</f>
        <v>0</v>
      </c>
      <c r="AL15" s="43">
        <f>SUM(Monthly!DC23:DE23)</f>
        <v>0</v>
      </c>
      <c r="AM15" s="43">
        <f>SUM(Monthly!DF23:DH23)</f>
        <v>0</v>
      </c>
      <c r="AN15" s="43">
        <f>SUM(Monthly!DI23:DK23)</f>
        <v>0</v>
      </c>
      <c r="AO15" s="43">
        <f>SUM(Monthly!DL23:DN23)</f>
        <v>0</v>
      </c>
      <c r="AP15" s="43">
        <f>SUM(Monthly!DO23:DQ23)</f>
        <v>0</v>
      </c>
      <c r="AQ15" s="43">
        <f>SUM(Monthly!DR23:DT23)</f>
        <v>0</v>
      </c>
      <c r="AR15" s="43">
        <f>SUM(Monthly!DU15:DW15)</f>
        <v>2482.5631599999997</v>
      </c>
      <c r="AS15" s="43">
        <f>SUM(Monthly!DX15:DZ15)</f>
        <v>5339.2309999999998</v>
      </c>
    </row>
    <row r="18" spans="2:43" ht="19.5"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43" ht="19.5" hidden="1">
      <c r="B19" s="28" t="s">
        <v>27</v>
      </c>
      <c r="C19" s="10"/>
      <c r="D19" s="10"/>
      <c r="E19" s="10"/>
      <c r="F19" s="10"/>
      <c r="G19" s="1">
        <f t="shared" ref="G19:AQ19" si="0">G2/C2-1</f>
        <v>-0.12701429701931743</v>
      </c>
      <c r="H19" s="1">
        <f t="shared" si="0"/>
        <v>9.2984646367855639E-2</v>
      </c>
      <c r="I19" s="1">
        <f t="shared" si="0"/>
        <v>0.13750747200657987</v>
      </c>
      <c r="J19" s="1">
        <f t="shared" si="0"/>
        <v>-8.9632776292554506E-2</v>
      </c>
      <c r="K19" s="1">
        <f t="shared" si="0"/>
        <v>0.11011844912901037</v>
      </c>
      <c r="L19" s="1">
        <f t="shared" si="0"/>
        <v>-0.15192159879406641</v>
      </c>
      <c r="M19" s="1">
        <f t="shared" si="0"/>
        <v>-8.034015496772573E-2</v>
      </c>
      <c r="N19" s="1">
        <f t="shared" si="0"/>
        <v>-1.323943892851398E-2</v>
      </c>
      <c r="O19" s="1">
        <f t="shared" si="0"/>
        <v>-0.14959472772028026</v>
      </c>
      <c r="P19" s="1">
        <f t="shared" si="0"/>
        <v>2.9020938732249313E-3</v>
      </c>
      <c r="Q19" s="1">
        <f t="shared" si="0"/>
        <v>7.3865401241935968E-2</v>
      </c>
      <c r="R19" s="1">
        <f t="shared" si="0"/>
        <v>-8.8998458613889664E-2</v>
      </c>
      <c r="S19" s="1">
        <f t="shared" si="0"/>
        <v>1.2277781198710502</v>
      </c>
      <c r="T19" s="1">
        <f t="shared" si="0"/>
        <v>2.3683949021253823</v>
      </c>
      <c r="U19" s="1">
        <f t="shared" si="0"/>
        <v>1.9825759072861007</v>
      </c>
      <c r="V19" s="1">
        <f t="shared" si="0"/>
        <v>1.8277318658021171</v>
      </c>
      <c r="W19" s="1">
        <f t="shared" si="0"/>
        <v>7.7184784134599393E-2</v>
      </c>
      <c r="X19" s="1">
        <f t="shared" si="0"/>
        <v>-0.1827729447224391</v>
      </c>
      <c r="Y19" s="40">
        <f t="shared" si="0"/>
        <v>-0.18351600175973082</v>
      </c>
      <c r="Z19" s="40">
        <f t="shared" si="0"/>
        <v>-0.26718183303488874</v>
      </c>
      <c r="AA19" s="40">
        <f t="shared" si="0"/>
        <v>-0.19722864261884721</v>
      </c>
      <c r="AB19" s="40">
        <f t="shared" si="0"/>
        <v>2.6071009979670823E-2</v>
      </c>
      <c r="AC19" s="40">
        <f t="shared" si="0"/>
        <v>0.61605007027384717</v>
      </c>
      <c r="AD19" s="40">
        <f t="shared" si="0"/>
        <v>1.1579820798241824E-2</v>
      </c>
      <c r="AE19" s="40">
        <f t="shared" si="0"/>
        <v>0.17403395299354418</v>
      </c>
      <c r="AF19" s="40">
        <f t="shared" si="0"/>
        <v>0.22525356154823184</v>
      </c>
      <c r="AG19" s="40">
        <f t="shared" si="0"/>
        <v>-0.13000225542830957</v>
      </c>
      <c r="AH19" s="40">
        <f t="shared" si="0"/>
        <v>-0.50729397787809816</v>
      </c>
      <c r="AI19" s="40">
        <f t="shared" si="0"/>
        <v>-0.63244895258136269</v>
      </c>
      <c r="AJ19" s="40">
        <f t="shared" si="0"/>
        <v>0.57503748016015166</v>
      </c>
      <c r="AK19" s="40">
        <f t="shared" si="0"/>
        <v>0.13745974521742199</v>
      </c>
      <c r="AL19" s="40">
        <f t="shared" si="0"/>
        <v>0.52374134886016122</v>
      </c>
      <c r="AM19" s="40">
        <f t="shared" si="0"/>
        <v>1.7997331099609335</v>
      </c>
      <c r="AN19" s="40">
        <f t="shared" si="0"/>
        <v>-0.51538365527847585</v>
      </c>
      <c r="AO19" s="40">
        <f t="shared" si="0"/>
        <v>0.2719247897775392</v>
      </c>
      <c r="AP19" s="40">
        <f t="shared" si="0"/>
        <v>2.1914772985638153E-2</v>
      </c>
      <c r="AQ19" s="40">
        <f t="shared" si="0"/>
        <v>0.18820227121876543</v>
      </c>
    </row>
    <row r="20" spans="2:43" ht="19.5" hidden="1">
      <c r="B20" s="28" t="s">
        <v>28</v>
      </c>
      <c r="C20" s="10"/>
      <c r="D20" s="10"/>
      <c r="E20" s="10"/>
      <c r="F20" s="10"/>
      <c r="G20" s="1">
        <f t="shared" ref="G20:I20" si="1">G9/C9-1</f>
        <v>-0.12207938074719438</v>
      </c>
      <c r="H20" s="1">
        <f t="shared" si="1"/>
        <v>0.1036938382208541</v>
      </c>
      <c r="I20" s="1">
        <f t="shared" si="1"/>
        <v>0.13918317158503801</v>
      </c>
      <c r="J20" s="1">
        <f>J9/F9-1</f>
        <v>-9.2718648001360315E-2</v>
      </c>
      <c r="K20" s="1">
        <f t="shared" ref="K20:R20" si="2">K9/G9-1</f>
        <v>0.10788107954028692</v>
      </c>
      <c r="L20" s="1">
        <f t="shared" si="2"/>
        <v>-0.14752198990539345</v>
      </c>
      <c r="M20" s="1">
        <f t="shared" si="2"/>
        <v>-9.3466308791097408E-2</v>
      </c>
      <c r="N20" s="1">
        <f t="shared" si="2"/>
        <v>-1.4144622803155538E-2</v>
      </c>
      <c r="O20" s="1">
        <f t="shared" si="2"/>
        <v>-0.15045086113982609</v>
      </c>
      <c r="P20" s="1">
        <f t="shared" si="2"/>
        <v>-1.5474239365976805E-3</v>
      </c>
      <c r="Q20" s="1">
        <f t="shared" si="2"/>
        <v>8.3241796702888449E-2</v>
      </c>
      <c r="R20" s="1">
        <f t="shared" si="2"/>
        <v>-9.6643940973063724E-2</v>
      </c>
      <c r="S20" s="1">
        <f t="shared" ref="S20" si="3">S9/O9-1</f>
        <v>-0.14935651299080233</v>
      </c>
      <c r="T20" s="1">
        <f t="shared" ref="T20:AE20" si="4">T9/P9-1</f>
        <v>7.8885048215124876E-2</v>
      </c>
      <c r="U20" s="1">
        <f t="shared" si="4"/>
        <v>-3.2295478084315321E-2</v>
      </c>
      <c r="V20" s="1">
        <f t="shared" si="4"/>
        <v>-3.4949165687732986E-2</v>
      </c>
      <c r="W20" s="1">
        <f t="shared" si="4"/>
        <v>0.24664062481069271</v>
      </c>
      <c r="X20" s="1">
        <f t="shared" si="4"/>
        <v>-2.308490743093683E-2</v>
      </c>
      <c r="Y20" s="40">
        <f t="shared" si="4"/>
        <v>5.358894887630461E-2</v>
      </c>
      <c r="Z20" s="40">
        <f t="shared" si="4"/>
        <v>0.13111867232154228</v>
      </c>
      <c r="AA20" s="40">
        <f t="shared" si="4"/>
        <v>-0.1817241545423196</v>
      </c>
      <c r="AB20" s="40">
        <f t="shared" si="4"/>
        <v>-0.16804814475051599</v>
      </c>
      <c r="AC20" s="40">
        <f t="shared" si="4"/>
        <v>-0.33449202704476888</v>
      </c>
      <c r="AD20" s="40">
        <f t="shared" si="4"/>
        <v>-0.36797998739057747</v>
      </c>
      <c r="AE20" s="40">
        <f t="shared" si="4"/>
        <v>-0.27705850497316409</v>
      </c>
      <c r="AF20" s="40">
        <f t="shared" ref="AF20:AQ20" si="5">AF9/AB9-1</f>
        <v>-0.18985911972553349</v>
      </c>
      <c r="AG20" s="40">
        <f t="shared" si="5"/>
        <v>-7.9981163986243886E-2</v>
      </c>
      <c r="AH20" s="40">
        <f t="shared" si="5"/>
        <v>0.29449030959764255</v>
      </c>
      <c r="AI20" s="40">
        <f t="shared" si="5"/>
        <v>0.31902288640909804</v>
      </c>
      <c r="AJ20" s="40">
        <f t="shared" si="5"/>
        <v>0.12749794900667011</v>
      </c>
      <c r="AK20" s="40">
        <f t="shared" si="5"/>
        <v>-3.7242507031944205E-2</v>
      </c>
      <c r="AL20" s="40">
        <f t="shared" si="5"/>
        <v>-0.12344489646957468</v>
      </c>
      <c r="AM20" s="40">
        <f t="shared" si="5"/>
        <v>-0.19903108084883103</v>
      </c>
      <c r="AN20" s="40">
        <f t="shared" si="5"/>
        <v>-8.0208397495782346E-2</v>
      </c>
      <c r="AO20" s="40">
        <f t="shared" si="5"/>
        <v>0.10570447155971285</v>
      </c>
      <c r="AP20" s="40">
        <f t="shared" si="5"/>
        <v>-3.9559882351094422E-2</v>
      </c>
      <c r="AQ20" s="40">
        <f t="shared" si="5"/>
        <v>0.38681352773363331</v>
      </c>
    </row>
    <row r="21" spans="2:43" ht="19.5" hidden="1">
      <c r="B21" s="28" t="s">
        <v>20</v>
      </c>
      <c r="C21" s="10"/>
      <c r="D21" s="10"/>
      <c r="E21" s="10"/>
      <c r="F21" s="10"/>
      <c r="G21" s="1" t="e">
        <f>#REF!/#REF!-1</f>
        <v>#REF!</v>
      </c>
      <c r="H21" s="1" t="e">
        <f>#REF!/#REF!-1</f>
        <v>#REF!</v>
      </c>
      <c r="I21" s="1" t="e">
        <f>#REF!/#REF!-1</f>
        <v>#REF!</v>
      </c>
      <c r="J21" s="1" t="e">
        <f>#REF!/#REF!-1</f>
        <v>#REF!</v>
      </c>
      <c r="K21" s="1" t="e">
        <f>#REF!/#REF!-1</f>
        <v>#REF!</v>
      </c>
      <c r="L21" s="1" t="e">
        <f>#REF!/#REF!-1</f>
        <v>#REF!</v>
      </c>
      <c r="M21" s="1" t="e">
        <f>#REF!/#REF!-1</f>
        <v>#REF!</v>
      </c>
      <c r="N21" s="1" t="e">
        <f>#REF!/#REF!-1</f>
        <v>#REF!</v>
      </c>
      <c r="O21" s="1" t="e">
        <f>#REF!/#REF!-1</f>
        <v>#REF!</v>
      </c>
      <c r="P21" s="1" t="e">
        <f>#REF!/#REF!-1</f>
        <v>#REF!</v>
      </c>
      <c r="Q21" s="1" t="e">
        <f>#REF!/#REF!-1</f>
        <v>#REF!</v>
      </c>
      <c r="R21" s="1" t="e">
        <f>#REF!/#REF!-1</f>
        <v>#REF!</v>
      </c>
      <c r="S21" s="1" t="e">
        <f>#REF!/#REF!-1</f>
        <v>#REF!</v>
      </c>
      <c r="T21" s="1" t="e">
        <f>#REF!/#REF!-1</f>
        <v>#REF!</v>
      </c>
      <c r="U21" s="1" t="e">
        <f>#REF!/#REF!-1</f>
        <v>#REF!</v>
      </c>
      <c r="V21" s="1" t="e">
        <f>#REF!/#REF!-1</f>
        <v>#REF!</v>
      </c>
      <c r="W21" s="1"/>
    </row>
    <row r="22" spans="2:43">
      <c r="G22" s="1"/>
      <c r="H22" s="1"/>
      <c r="I22" s="1"/>
      <c r="J22" s="1"/>
      <c r="K22" s="1"/>
      <c r="L22" s="1"/>
      <c r="M22" s="1"/>
      <c r="N22" s="1"/>
      <c r="AQ22" s="82"/>
    </row>
  </sheetData>
  <phoneticPr fontId="96" type="noConversion"/>
  <conditionalFormatting sqref="C10:R13 C18:P21">
    <cfRule type="cellIs" dxfId="11" priority="33" operator="lessThan">
      <formula>-0.0051</formula>
    </cfRule>
    <cfRule type="cellIs" dxfId="10" priority="34" operator="greaterThan">
      <formula>0.0051</formula>
    </cfRule>
  </conditionalFormatting>
  <conditionalFormatting sqref="G22:N22">
    <cfRule type="cellIs" dxfId="9" priority="47" operator="lessThan">
      <formula>-0.0051</formula>
    </cfRule>
    <cfRule type="cellIs" dxfId="8" priority="48" operator="greaterThan">
      <formula>0.0051</formula>
    </cfRule>
  </conditionalFormatting>
  <conditionalFormatting sqref="X19:AQ20 Q19:W21">
    <cfRule type="cellIs" dxfId="7" priority="35" operator="lessThan">
      <formula>-0.0051</formula>
    </cfRule>
    <cfRule type="cellIs" dxfId="6" priority="36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2:N6 C8:N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topLeftCell="B1" zoomScale="145" zoomScaleNormal="145" workbookViewId="0">
      <selection activeCell="E23" sqref="E23"/>
    </sheetView>
  </sheetViews>
  <sheetFormatPr defaultRowHeight="18.5"/>
  <cols>
    <col min="1" max="1" width="19.1796875" style="4" bestFit="1" customWidth="1"/>
    <col min="2" max="2" width="38.81640625" style="2" bestFit="1" customWidth="1"/>
    <col min="3" max="3" width="12.54296875" style="5" customWidth="1"/>
    <col min="4" max="5" width="12.7265625" style="5" customWidth="1"/>
    <col min="6" max="6" width="14.1796875" customWidth="1"/>
    <col min="7" max="7" width="13.453125" style="22" customWidth="1"/>
    <col min="8" max="8" width="16.1796875" customWidth="1"/>
    <col min="9" max="9" width="14.1796875" customWidth="1"/>
    <col min="10" max="10" width="12.81640625" customWidth="1"/>
    <col min="11" max="11" width="12.453125" customWidth="1"/>
    <col min="12" max="12" width="13" customWidth="1"/>
  </cols>
  <sheetData>
    <row r="1" spans="1:12" ht="19" thickBot="1">
      <c r="A1" s="6"/>
      <c r="B1" s="44" t="s">
        <v>25</v>
      </c>
      <c r="C1" s="26" t="s">
        <v>0</v>
      </c>
      <c r="D1" s="26" t="s">
        <v>1</v>
      </c>
      <c r="E1" s="26" t="s">
        <v>2</v>
      </c>
      <c r="F1" s="26" t="s">
        <v>37</v>
      </c>
      <c r="G1" s="26" t="s">
        <v>39</v>
      </c>
      <c r="H1" s="26" t="s">
        <v>44</v>
      </c>
      <c r="I1" s="26" t="s">
        <v>49</v>
      </c>
      <c r="J1" s="26" t="s">
        <v>54</v>
      </c>
      <c r="K1" s="26" t="s">
        <v>59</v>
      </c>
      <c r="L1" s="26" t="s">
        <v>64</v>
      </c>
    </row>
    <row r="2" spans="1:12" s="13" customFormat="1" ht="19" thickTop="1">
      <c r="A2" s="11"/>
      <c r="B2" s="46" t="s">
        <v>15</v>
      </c>
      <c r="C2" s="18">
        <f>SUM(Monthly!B2:M2)</f>
        <v>5529509.1670900006</v>
      </c>
      <c r="D2" s="18">
        <f>SUM(Monthly!N2:Y2)</f>
        <v>5233809.2623600001</v>
      </c>
      <c r="E2" s="18">
        <f>SUM(Monthly!Z2:AK2)</f>
        <v>5241036.6647129999</v>
      </c>
      <c r="F2" s="18">
        <f>SUM(Monthly!AL2:AW2)</f>
        <v>4808340.875</v>
      </c>
      <c r="G2" s="18">
        <f>SUM(Monthly!AX2:BI2)</f>
        <v>12977921.699999999</v>
      </c>
      <c r="H2" s="18">
        <f>SUM(Monthly!BJ2:BU2)</f>
        <v>11371201.015000001</v>
      </c>
      <c r="I2" s="18">
        <f>SUM(Monthly!BV2:CG2)</f>
        <v>11514212.900999999</v>
      </c>
      <c r="J2" s="18">
        <f>SUM(Monthly!CH2:CS2)</f>
        <v>10803717.645000001</v>
      </c>
      <c r="K2" s="18">
        <f>SUM(Monthly!CT2:DE2)</f>
        <v>10738342.699000001</v>
      </c>
      <c r="L2" s="18">
        <f>SUM(Monthly!DF2:DQ2)</f>
        <v>12082472.185000001</v>
      </c>
    </row>
    <row r="3" spans="1:12" ht="19.5">
      <c r="B3" s="45" t="s">
        <v>16</v>
      </c>
      <c r="C3" s="17">
        <f>SUM(Monthly!B3:M3)</f>
        <v>3483179.9052199996</v>
      </c>
      <c r="D3" s="17">
        <f>SUM(Monthly!N3:Y3)</f>
        <v>1566334.0920299999</v>
      </c>
      <c r="E3" s="17">
        <f>SUM(Monthly!Z3:AK3)</f>
        <v>1123659.9906669999</v>
      </c>
      <c r="F3" s="17">
        <f>SUM(Monthly!AL3:AW3)</f>
        <v>2449882.4020000002</v>
      </c>
      <c r="G3" s="17">
        <f>SUM(Monthly!AX3:BI3)</f>
        <v>10100656.074000001</v>
      </c>
      <c r="H3" s="17">
        <f>SUM(Monthly!BJ3:BU3)</f>
        <v>10525569.779000001</v>
      </c>
      <c r="I3" s="17">
        <f>SUM(Monthly!BV3:CG3)</f>
        <v>10512134.262</v>
      </c>
      <c r="J3" s="17">
        <f>SUM(Monthly!CH3:CS3)</f>
        <v>5722693.7570000002</v>
      </c>
      <c r="K3" s="17">
        <f>SUM(Monthly!CT3:DE3)</f>
        <v>3944083.0610000002</v>
      </c>
      <c r="L3" s="17">
        <f>SUM(Monthly!DF3:DQ3)</f>
        <v>8508489.0039999988</v>
      </c>
    </row>
    <row r="4" spans="1:12" ht="19.5" hidden="1">
      <c r="B4" s="45" t="s">
        <v>17</v>
      </c>
      <c r="C4" s="17">
        <f>SUM(Monthly!B4:M4)</f>
        <v>2045186.5223099999</v>
      </c>
      <c r="D4" s="17">
        <f>SUM(Monthly!N4:Y4)</f>
        <v>3666356.67502</v>
      </c>
      <c r="E4" s="17">
        <f>SUM(Monthly!Z4:AK4)</f>
        <v>3713893.5529999994</v>
      </c>
      <c r="F4" s="17">
        <f>SUM(Monthly!AL4:AW4)</f>
        <v>2357397.298</v>
      </c>
      <c r="G4" s="17">
        <f>SUM(Monthly!AX4:BI4)</f>
        <v>2876218.6960000005</v>
      </c>
      <c r="H4" s="17">
        <f>SUM(Monthly!BJ4:BU4)</f>
        <v>776369.5689999999</v>
      </c>
      <c r="I4" s="17">
        <f>SUM(Monthly!BV4:CG4)</f>
        <v>400710.13399999996</v>
      </c>
      <c r="J4" s="17">
        <f>SUM(Monthly!CH4:CS4)</f>
        <v>0</v>
      </c>
      <c r="K4" s="17">
        <f>SUM(Monthly!CT4:DE4)</f>
        <v>0</v>
      </c>
      <c r="L4" s="17">
        <f>SUM(Monthly!DF4:DQ4)</f>
        <v>0</v>
      </c>
    </row>
    <row r="5" spans="1:12" ht="19.5" hidden="1">
      <c r="B5" s="45" t="s">
        <v>18</v>
      </c>
      <c r="C5" s="17">
        <f>SUM(Monthly!B5:M5)</f>
        <v>0</v>
      </c>
      <c r="D5" s="17">
        <f>SUM(Monthly!N5:Y5)</f>
        <v>0</v>
      </c>
      <c r="E5" s="17">
        <f>SUM(Monthly!Z5:AK5)</f>
        <v>402396.26108600001</v>
      </c>
      <c r="F5" s="17">
        <f>SUM(Monthly!AL5:AW5)</f>
        <v>0</v>
      </c>
      <c r="G5" s="17">
        <f>SUM(Monthly!AX5:BI5)</f>
        <v>0</v>
      </c>
      <c r="H5" s="17">
        <f>SUM(Monthly!BJ5:BU5)</f>
        <v>0</v>
      </c>
      <c r="I5" s="17">
        <f>SUM(Monthly!BV5:CG5)</f>
        <v>0</v>
      </c>
      <c r="J5" s="17">
        <f>SUM(Monthly!CH5:CS5)</f>
        <v>0</v>
      </c>
      <c r="K5" s="17">
        <f>SUM(Monthly!CT5:DE5)</f>
        <v>0</v>
      </c>
      <c r="L5" s="17">
        <f>SUM(Monthly!DF5:DQ5)</f>
        <v>0</v>
      </c>
    </row>
    <row r="6" spans="1:12" ht="19.5">
      <c r="B6" s="45" t="s">
        <v>19</v>
      </c>
      <c r="C6" s="17">
        <f>SUM(Monthly!B6:M6)</f>
        <v>1142.73956</v>
      </c>
      <c r="D6" s="17">
        <f>SUM(Monthly!N6:Y6)</f>
        <v>1118.49531</v>
      </c>
      <c r="E6" s="17">
        <f>SUM(Monthly!Z6:AK6)</f>
        <v>1086.8599599999998</v>
      </c>
      <c r="F6" s="17">
        <f>SUM(Monthly!AL6:AW6)</f>
        <v>1061.175</v>
      </c>
      <c r="G6" s="17">
        <f>SUM(Monthly!AX6:BI6)</f>
        <v>1046.93</v>
      </c>
      <c r="H6" s="17">
        <f>SUM(Monthly!BJ6:BU6)</f>
        <v>1235.374</v>
      </c>
      <c r="I6" s="17">
        <f>SUM(Monthly!BV6:CG6)</f>
        <v>1070.5540000000001</v>
      </c>
      <c r="J6" s="17">
        <f>SUM(Monthly!CH6:CS6)</f>
        <v>909.98799999999983</v>
      </c>
      <c r="K6" s="17">
        <f>SUM(Monthly!CT6:DE6)</f>
        <v>824.47800000000007</v>
      </c>
      <c r="L6" s="17">
        <f>SUM(Monthly!DF6:DQ6)</f>
        <v>812.39600000000007</v>
      </c>
    </row>
    <row r="7" spans="1:12" ht="19.5">
      <c r="B7" s="45" t="s">
        <v>31</v>
      </c>
      <c r="C7" s="17">
        <v>0</v>
      </c>
      <c r="D7" s="17">
        <v>0</v>
      </c>
      <c r="E7" s="17">
        <v>0</v>
      </c>
      <c r="F7" s="17">
        <v>0</v>
      </c>
      <c r="G7" s="17">
        <f>SUM(Monthly!AX7:BI7)</f>
        <v>0</v>
      </c>
      <c r="H7" s="17">
        <f>SUM(Monthly!BJ7:BU7)</f>
        <v>68026.293000000005</v>
      </c>
      <c r="I7" s="17">
        <f>SUM(Monthly!BV7:CG7)</f>
        <v>600297.951</v>
      </c>
      <c r="J7" s="17">
        <f>SUM(Monthly!CH7:CS7)</f>
        <v>5080113.8999999994</v>
      </c>
      <c r="K7" s="17">
        <f>SUM(Monthly!CT7:DE7)</f>
        <v>6793435.1600000001</v>
      </c>
      <c r="L7" s="17">
        <f>SUM(Monthly!DF7:DQ7)</f>
        <v>3573170.7849999997</v>
      </c>
    </row>
    <row r="8" spans="1:12" s="86" customFormat="1" ht="17">
      <c r="A8" s="66"/>
      <c r="B8" s="90" t="s">
        <v>87</v>
      </c>
      <c r="C8" s="84">
        <f>SUM(Monthly!B8:M8)</f>
        <v>24435579.727769997</v>
      </c>
      <c r="D8" s="84">
        <f>SUM(Monthly!N8:Y8)</f>
        <v>18201471.49295</v>
      </c>
      <c r="E8" s="84">
        <f>SUM(Monthly!Z8:AK8)</f>
        <v>20370913.225299999</v>
      </c>
      <c r="F8" s="84">
        <f>SUM(Monthly!AL8:AW8)</f>
        <v>23953412.716253996</v>
      </c>
      <c r="G8" s="84">
        <f>SUM(Monthly!AX8:BI8)</f>
        <v>12961350.662830001</v>
      </c>
      <c r="H8" s="84">
        <f>SUM(Monthly!BJ8:BU8)</f>
        <v>11351506.951469999</v>
      </c>
      <c r="I8" s="84">
        <f>SUM(Monthly!BV8:CG8)</f>
        <v>11498429.567389999</v>
      </c>
      <c r="J8" s="84">
        <f>SUM(Monthly!CH8:CS8)</f>
        <v>10772630.69105</v>
      </c>
      <c r="K8" s="84">
        <f>SUM(Monthly!CT8:DE8)</f>
        <v>10684442.09911</v>
      </c>
      <c r="L8" s="84">
        <f>SUM(Monthly!DF8:DQ8)</f>
        <v>12048456.742380001</v>
      </c>
    </row>
    <row r="9" spans="1:12" ht="17">
      <c r="A9" s="68"/>
      <c r="B9" s="45" t="s">
        <v>21</v>
      </c>
      <c r="C9" s="17">
        <f>SUM(Monthly!B9:M9)</f>
        <v>5496698.6101299999</v>
      </c>
      <c r="D9" s="17">
        <f>SUM(Monthly!N9:Y9)</f>
        <v>5218970.6009400003</v>
      </c>
      <c r="E9" s="17">
        <f>SUM(Monthly!Z9:AK9)</f>
        <v>5216403.1768100001</v>
      </c>
      <c r="F9" s="17">
        <f>SUM(Monthly!AL9:AW9)</f>
        <v>4773222.1059039999</v>
      </c>
      <c r="G9" s="17">
        <f>SUM(Monthly!AX9:BI9)</f>
        <v>4480130.8498300007</v>
      </c>
      <c r="H9" s="17">
        <f>SUM(Monthly!BJ9:BU9)</f>
        <v>5074563.1454700008</v>
      </c>
      <c r="I9" s="17">
        <f>SUM(Monthly!BV9:CG9)</f>
        <v>3776769.3323899992</v>
      </c>
      <c r="J9" s="17">
        <f>SUM(Monthly!CH9:CS9)</f>
        <v>3435286.4580500005</v>
      </c>
      <c r="K9" s="17">
        <f>SUM(Monthly!CT9:DE9)</f>
        <v>3720729.1081099999</v>
      </c>
      <c r="L9" s="17">
        <f>SUM(Monthly!DF9:DQ9)</f>
        <v>3350135.7093799999</v>
      </c>
    </row>
    <row r="10" spans="1:12" ht="17">
      <c r="A10" s="68"/>
      <c r="B10" s="45" t="s">
        <v>84</v>
      </c>
      <c r="C10" s="89"/>
      <c r="D10" s="89"/>
      <c r="E10" s="89"/>
      <c r="F10" s="89"/>
      <c r="G10" s="17">
        <f>SUM(Monthly!AX10:BI10)</f>
        <v>8481219.8129999992</v>
      </c>
      <c r="H10" s="17">
        <f>SUM(Monthly!BJ10:BU10)</f>
        <v>6276943.8059999999</v>
      </c>
      <c r="I10" s="17">
        <f>SUM(Monthly!BV10:CG10)</f>
        <v>7721660.2349999985</v>
      </c>
      <c r="J10" s="17">
        <f>SUM(Monthly!CH10:CS10)</f>
        <v>7337344.233</v>
      </c>
      <c r="K10" s="17">
        <f>SUM(Monthly!CT10:DE10)</f>
        <v>6963712.9910000004</v>
      </c>
      <c r="L10" s="17">
        <f>SUM(Monthly!DF10:DQ10)</f>
        <v>8698321.0329999998</v>
      </c>
    </row>
    <row r="11" spans="1:12" ht="19.5">
      <c r="B11" s="45" t="s">
        <v>16</v>
      </c>
      <c r="C11" s="1"/>
      <c r="D11" s="1"/>
      <c r="E11" s="1"/>
      <c r="F11" s="1"/>
      <c r="G11" s="17">
        <f>SUM(Monthly!AX11:BI11)</f>
        <v>10459.388000000001</v>
      </c>
      <c r="H11" s="17">
        <f>SUM(Monthly!BJ11:BU11)</f>
        <v>3110.2919999999999</v>
      </c>
      <c r="I11" s="17">
        <f>SUM(Monthly!BV11:CG11)</f>
        <v>324899.96100000001</v>
      </c>
      <c r="J11" s="17">
        <f>SUM(Monthly!CH11:CS11)</f>
        <v>4075118.5269999998</v>
      </c>
      <c r="K11" s="17">
        <f>SUM(Monthly!CT11:DE11)</f>
        <v>5723285.2110000001</v>
      </c>
      <c r="L11" s="17">
        <f>SUM(Monthly!DF11:DQ11)</f>
        <v>2676302.0230000005</v>
      </c>
    </row>
    <row r="12" spans="1:12" ht="19.5">
      <c r="B12" s="45" t="s">
        <v>31</v>
      </c>
      <c r="C12" s="1"/>
      <c r="D12" s="1"/>
      <c r="E12" s="1"/>
      <c r="F12" s="1"/>
      <c r="G12" s="17">
        <f>SUM(Monthly!AX12:BI12)</f>
        <v>8470760.4249999989</v>
      </c>
      <c r="H12" s="17">
        <f>SUM(Monthly!BJ12:BU12)</f>
        <v>6273833.5140000004</v>
      </c>
      <c r="I12" s="17">
        <f>SUM(Monthly!BV12:CG12)</f>
        <v>7396760.2739999993</v>
      </c>
      <c r="J12" s="17">
        <f>SUM(Monthly!CH12:CS12)</f>
        <v>3262225.7059999998</v>
      </c>
      <c r="K12" s="17">
        <f>SUM(Monthly!CT12:DE12)</f>
        <v>1240427.78</v>
      </c>
      <c r="L12" s="17">
        <f>SUM(Monthly!DF12:DQ12)</f>
        <v>6022019.0099999988</v>
      </c>
    </row>
    <row r="13" spans="1:12" s="86" customFormat="1" ht="17">
      <c r="A13" s="66"/>
      <c r="B13" s="90" t="s">
        <v>22</v>
      </c>
      <c r="C13" s="84">
        <f>SUM(Monthly!B13:M13)</f>
        <v>16863.763910000001</v>
      </c>
      <c r="D13" s="84">
        <f>SUM(Monthly!N13:Y13)</f>
        <v>18501.973540000003</v>
      </c>
      <c r="E13" s="84">
        <f>SUM(Monthly!Z13:AK13)</f>
        <v>21224.690759999998</v>
      </c>
      <c r="F13" s="84">
        <f>SUM(Monthly!AL13:AW13)</f>
        <v>26912.703989999998</v>
      </c>
      <c r="G13" s="84">
        <f>SUM(Monthly!AX13:BI13)</f>
        <v>6785.1606200000379</v>
      </c>
      <c r="H13" s="84">
        <f>SUM(Monthly!BJ13:BU13)</f>
        <v>22282.704890000005</v>
      </c>
      <c r="I13" s="84">
        <f>SUM(Monthly!BV13:CG13)</f>
        <v>22892.620703999972</v>
      </c>
      <c r="J13" s="84">
        <f>SUM(Monthly!CH13:CS13)</f>
        <v>32252.257172999976</v>
      </c>
      <c r="K13" s="84">
        <f>SUM(Monthly!CT13:DE13)</f>
        <v>48426.571754439006</v>
      </c>
      <c r="L13" s="84">
        <f>SUM(Monthly!DF13:DQ13)</f>
        <v>32493.813890000001</v>
      </c>
    </row>
    <row r="14" spans="1:12" ht="19.5">
      <c r="B14" s="45" t="s">
        <v>23</v>
      </c>
      <c r="C14" s="17">
        <f>SUM(Monthly!B14:M14)</f>
        <v>1979.2913600000002</v>
      </c>
      <c r="D14" s="17">
        <f>SUM(Monthly!N14:Y14)</f>
        <v>2664.0325300000004</v>
      </c>
      <c r="E14" s="17">
        <f>SUM(Monthly!Z14:AK14)</f>
        <v>8843.4768399999994</v>
      </c>
      <c r="F14" s="17">
        <f>SUM(Monthly!AL14:AW14)</f>
        <v>14294.018550000001</v>
      </c>
      <c r="G14" s="17">
        <f>SUM(Monthly!AX14:BI14)</f>
        <v>644.68691000000001</v>
      </c>
      <c r="H14" s="17">
        <f>SUM(Monthly!BJ14:BU14)</f>
        <v>8476.4106899999988</v>
      </c>
      <c r="I14" s="17">
        <f>SUM(Monthly!BV14:CG14)</f>
        <v>3032.4350199999999</v>
      </c>
      <c r="J14" s="17">
        <f>SUM(Monthly!CH14:CS14)</f>
        <v>6895.7741030000007</v>
      </c>
      <c r="K14" s="17">
        <f>SUM(Monthly!CT14:DE14)</f>
        <v>5430.1224999999995</v>
      </c>
      <c r="L14" s="17">
        <f>SUM(Monthly!DF14:DQ14)</f>
        <v>6941.1970000000001</v>
      </c>
    </row>
    <row r="15" spans="1:12" s="13" customFormat="1" hidden="1">
      <c r="A15" s="11"/>
      <c r="B15" s="46" t="s">
        <v>20</v>
      </c>
      <c r="C15" s="10"/>
      <c r="D15" s="10"/>
      <c r="E15" s="10"/>
      <c r="F15" s="10"/>
      <c r="G15" s="18">
        <f>SUM(Monthly!AX23:BI23)</f>
        <v>0</v>
      </c>
      <c r="H15" s="18">
        <f>SUM(Monthly!BJ23:BU23)</f>
        <v>0</v>
      </c>
      <c r="I15" s="18">
        <f>SUM(Monthly!BV23:CG23)</f>
        <v>0</v>
      </c>
      <c r="J15" s="18">
        <f>SUM(Monthly!CH23:CS23)</f>
        <v>0</v>
      </c>
      <c r="K15" s="18">
        <f>SUM(Monthly!CT23:DE23)</f>
        <v>0</v>
      </c>
      <c r="L15" s="18">
        <f>SUM(Monthly!DF23:DQ23)</f>
        <v>0</v>
      </c>
    </row>
    <row r="19" spans="2:12" ht="19.5">
      <c r="B19" s="45"/>
      <c r="C19" s="1"/>
      <c r="D19" s="1"/>
      <c r="E19" s="1"/>
      <c r="F19" s="19"/>
    </row>
    <row r="20" spans="2:12" ht="19.5" hidden="1">
      <c r="B20" s="45" t="s">
        <v>27</v>
      </c>
      <c r="C20" s="10"/>
      <c r="D20" s="40">
        <f t="shared" ref="D20:L20" si="0">D2/C2-1</f>
        <v>-5.3476700335342353E-2</v>
      </c>
      <c r="E20" s="40">
        <f t="shared" si="0"/>
        <v>1.3809067145371667E-3</v>
      </c>
      <c r="F20" s="40">
        <f t="shared" si="0"/>
        <v>-8.2559199142083206E-2</v>
      </c>
      <c r="G20" s="40">
        <f t="shared" si="0"/>
        <v>1.6990436072192989</v>
      </c>
      <c r="H20" s="40">
        <f t="shared" si="0"/>
        <v>-0.12380415925918231</v>
      </c>
      <c r="I20" s="40">
        <f t="shared" si="0"/>
        <v>1.2576673810563044E-2</v>
      </c>
      <c r="J20" s="40">
        <f t="shared" si="0"/>
        <v>-6.1705933537002045E-2</v>
      </c>
      <c r="K20" s="40">
        <f t="shared" si="0"/>
        <v>-6.0511527742727056E-3</v>
      </c>
      <c r="L20" s="40">
        <f t="shared" si="0"/>
        <v>0.12517103650688766</v>
      </c>
    </row>
    <row r="21" spans="2:12" ht="19.5" hidden="1">
      <c r="B21" s="45" t="s">
        <v>28</v>
      </c>
      <c r="C21" s="10"/>
      <c r="D21" s="40">
        <f t="shared" ref="D21:L21" si="1">D9/C9-1</f>
        <v>-5.0526330237238737E-2</v>
      </c>
      <c r="E21" s="40">
        <f t="shared" si="1"/>
        <v>-4.9194071519342852E-4</v>
      </c>
      <c r="F21" s="40">
        <f t="shared" si="1"/>
        <v>-8.4959129094200891E-2</v>
      </c>
      <c r="G21" s="40">
        <f t="shared" si="1"/>
        <v>-6.1403230264829856E-2</v>
      </c>
      <c r="H21" s="40">
        <f t="shared" si="1"/>
        <v>0.13268190496323462</v>
      </c>
      <c r="I21" s="40">
        <f t="shared" si="1"/>
        <v>-0.25574493328327697</v>
      </c>
      <c r="J21" s="40">
        <f t="shared" si="1"/>
        <v>-9.04166615131623E-2</v>
      </c>
      <c r="K21" s="40">
        <f t="shared" si="1"/>
        <v>8.3091367647409431E-2</v>
      </c>
      <c r="L21" s="40">
        <f t="shared" si="1"/>
        <v>-9.9602359634896498E-2</v>
      </c>
    </row>
    <row r="22" spans="2:12" ht="19.5" hidden="1">
      <c r="B22" s="45" t="s">
        <v>20</v>
      </c>
      <c r="C22" s="10"/>
      <c r="D22" s="40" t="e">
        <f>#REF!/#REF!-1</f>
        <v>#REF!</v>
      </c>
      <c r="E22" s="40" t="e">
        <f>#REF!/#REF!-1</f>
        <v>#REF!</v>
      </c>
      <c r="F22" s="40" t="e">
        <f>#REF!/#REF!-1</f>
        <v>#REF!</v>
      </c>
      <c r="G22" s="40"/>
      <c r="H22" s="40"/>
    </row>
  </sheetData>
  <phoneticPr fontId="96" type="noConversion"/>
  <conditionalFormatting sqref="C10:F12 C15:F15">
    <cfRule type="cellIs" dxfId="5" priority="9" operator="lessThan">
      <formula>-0.0051</formula>
    </cfRule>
    <cfRule type="cellIs" dxfId="4" priority="10" operator="greaterThan">
      <formula>0.0051</formula>
    </cfRule>
  </conditionalFormatting>
  <conditionalFormatting sqref="C19:F19 I20:L21">
    <cfRule type="cellIs" dxfId="3" priority="27" operator="lessThan">
      <formula>-0.0051</formula>
    </cfRule>
    <cfRule type="cellIs" dxfId="2" priority="28" operator="greaterThan">
      <formula>0.0051</formula>
    </cfRule>
  </conditionalFormatting>
  <conditionalFormatting sqref="C20:H22">
    <cfRule type="cellIs" dxfId="1" priority="17" operator="lessThan">
      <formula>-0.0051</formula>
    </cfRule>
    <cfRule type="cellIs" dxfId="0" priority="18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3:E13 C2:E6 C8:E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Jennie-Ry Lootus</cp:lastModifiedBy>
  <dcterms:created xsi:type="dcterms:W3CDTF">2017-12-21T07:29:56Z</dcterms:created>
  <dcterms:modified xsi:type="dcterms:W3CDTF">2026-10-14T10:49:54Z</dcterms:modified>
</cp:coreProperties>
</file>